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8"/>
  <workbookPr codeName="ThisWorkbook" defaultThemeVersion="166925"/>
  <mc:AlternateContent xmlns:mc="http://schemas.openxmlformats.org/markup-compatibility/2006">
    <mc:Choice Requires="x15">
      <x15ac:absPath xmlns:x15ac="http://schemas.microsoft.com/office/spreadsheetml/2010/11/ac" url="/Users/baudin/Projects/aria-excel/"/>
    </mc:Choice>
  </mc:AlternateContent>
  <xr:revisionPtr revIDLastSave="0" documentId="13_ncr:1_{D7A190C2-1FF7-3342-AF50-989FFFE81272}" xr6:coauthVersionLast="40" xr6:coauthVersionMax="40" xr10:uidLastSave="{00000000-0000-0000-0000-000000000000}"/>
  <bookViews>
    <workbookView xWindow="0" yWindow="460" windowWidth="38200" windowHeight="23540" activeTab="1" xr2:uid="{47C10E70-C8A1-594D-875F-C0FED4FAA393}"/>
  </bookViews>
  <sheets>
    <sheet name="Character Sheet" sheetId="1" r:id="rId1"/>
    <sheet name="Character Info" sheetId="5" r:id="rId2"/>
    <sheet name="Statistics" sheetId="4" r:id="rId3"/>
    <sheet name="Skills" sheetId="2" r:id="rId4"/>
    <sheet name="Resistances" sheetId="12" r:id="rId5"/>
    <sheet name="Feats" sheetId="8" r:id="rId6"/>
    <sheet name="Armor" sheetId="10" r:id="rId7"/>
    <sheet name="Weapons" sheetId="13" r:id="rId8"/>
    <sheet name="Spells" sheetId="14" r:id="rId9"/>
    <sheet name="Races" sheetId="7" r:id="rId10"/>
    <sheet name="Classes" sheetId="6" r:id="rId11"/>
    <sheet name="Lookup Data" sheetId="9" r:id="rId12"/>
    <sheet name="Drop Downs" sheetId="3" r:id="rId13"/>
  </sheets>
  <definedNames>
    <definedName name="_xlnm._FilterDatabase" localSheetId="5" hidden="1">Feats!$A$1:$L$14</definedName>
    <definedName name="_xlnm._FilterDatabase" localSheetId="4" hidden="1">Resistances!$A$1:$K$10</definedName>
    <definedName name="_xlnm._FilterDatabase" localSheetId="3" hidden="1">Skills!$A$1:$K$34</definedName>
    <definedName name="AGI">Statistics!$N$3</definedName>
    <definedName name="AGI_TOTAL">Statistics!$M$3</definedName>
    <definedName name="Armor" localSheetId="7">Table13[#All]</definedName>
    <definedName name="Armor">Table13[#All]</definedName>
    <definedName name="ARMOR_AGI">Table12[[#Totals],[AGI]]</definedName>
    <definedName name="ARMOR_ARMOR" localSheetId="7">Weapons!$C$27</definedName>
    <definedName name="ARMOR_ARMOR">Armor!$C$27</definedName>
    <definedName name="ARMOR_CHA">Table12[[#Totals],[CHA]]</definedName>
    <definedName name="ARMOR_DODGE" localSheetId="7">Weapons!$F$27</definedName>
    <definedName name="ARMOR_DODGE">Armor!$F$27</definedName>
    <definedName name="ARMOR_INI" localSheetId="7">Weapons!$D$27</definedName>
    <definedName name="ARMOR_INI">Armor!$D$27</definedName>
    <definedName name="ARMOR_INU">Table12[[#Totals],[INU]]</definedName>
    <definedName name="ARMOR_MOVEMENT" localSheetId="7">Weapons!$E$27</definedName>
    <definedName name="ARMOR_MOVEMENT">Armor!$E$27</definedName>
    <definedName name="ARMOR_PER">Table12[[#Totals],[PER]]</definedName>
    <definedName name="ARMOR_STR">Table12[[#Totals],[STR]]</definedName>
    <definedName name="ARMOR_TYPE" localSheetId="7">Table13[#All]</definedName>
    <definedName name="ARMOR_TYPE">Table13[#All]</definedName>
    <definedName name="CHA">Statistics!$N$5</definedName>
    <definedName name="CHA_TOTAL">Statistics!$M$5</definedName>
    <definedName name="CHARACTER_AP">'Character Info'!$B$12</definedName>
    <definedName name="CHARACTER_ARMOR">'Character Info'!$B$9</definedName>
    <definedName name="CHARACTER_AURA">'Character Info'!$B$10</definedName>
    <definedName name="CHARACTER_EXPERTISE">'Character Info'!$B$6</definedName>
    <definedName name="CHARACTER_HP">'Character Info'!$B$7</definedName>
    <definedName name="CHARACTER_INI">'Character Info'!$B$11</definedName>
    <definedName name="CHARACTER_LEVEL">'Character Info'!$B$3</definedName>
    <definedName name="CHARACTER_MOVEMENT">'Character Info'!$B$8</definedName>
    <definedName name="CHARACTER_NAME">'Character Info'!$B$2</definedName>
    <definedName name="CHARACTER_PROFESSION">'Character Info'!$B$5</definedName>
    <definedName name="CHARACTER_RACE">'Character Info'!$B$4</definedName>
    <definedName name="_xlnm.Criteria" localSheetId="0">'Character Sheet'!$W$1:$X$1</definedName>
    <definedName name="_xlnm.Criteria" localSheetId="5">Feats!$W$1:$X$1</definedName>
    <definedName name="_xlnm.Criteria" localSheetId="4">Resistances!$O$1:$Q$1</definedName>
    <definedName name="_xlnm.Criteria" localSheetId="3">Skills!$N$1:$O$1</definedName>
    <definedName name="EQ_ARMOR" localSheetId="4">Table12[[#Totals],[Armor]]</definedName>
    <definedName name="EQ_ARMOR" localSheetId="7">Table1218[[#Totals],[Armor]]</definedName>
    <definedName name="EQ_ARMOR">Table12[[#Totals],[Armor]]</definedName>
    <definedName name="EQ_AURA" localSheetId="4">Table12[[#Totals],[Aura]]</definedName>
    <definedName name="EQ_AURA" localSheetId="7">Table1218[[#Totals],[Aura]]</definedName>
    <definedName name="EQ_AURA">Table12[[#Totals],[Aura]]</definedName>
    <definedName name="EQ_CRIT" localSheetId="4">Table12[[#Totals],[Crit]]</definedName>
    <definedName name="EQ_CRIT" localSheetId="7">Table1218[[#Totals],[Crit]]</definedName>
    <definedName name="EQ_CRIT">Table12[[#Totals],[Crit]]</definedName>
    <definedName name="EQ_CRITDMG" localSheetId="4">Table12[[#Totals],[Crit DMG]]</definedName>
    <definedName name="EQ_CRITDMG" localSheetId="7">Table1218[[#Totals],[Crit DMG]]</definedName>
    <definedName name="EQ_CRITDMG">Table12[[#Totals],[Crit DMG]]</definedName>
    <definedName name="EQ_DIRECTEDSTRIKE" localSheetId="4">Table12[[#Totals],[Directed Strike]]</definedName>
    <definedName name="EQ_DIRECTEDSTRIKE" localSheetId="7">Table1218[[#Totals],[Directed Strike]]</definedName>
    <definedName name="EQ_DIRECTEDSTRIKE">Table12[[#Totals],[Directed Strike]]</definedName>
    <definedName name="EQ_DMG" localSheetId="4">Table12[[#Totals],[DMG]]</definedName>
    <definedName name="EQ_DMG" localSheetId="7">Table1218[[#Totals],[DMG]]</definedName>
    <definedName name="EQ_DMG">Table12[[#Totals],[DMG]]</definedName>
    <definedName name="EQ_EXPERTISE" localSheetId="4">Table12[[#Totals],[Exprt.]]</definedName>
    <definedName name="EQ_EXPERTISE" localSheetId="7">Table1218[[#Totals],[Exprt.]]</definedName>
    <definedName name="EQ_EXPERTISE">Table12[[#Totals],[Exprt.]]</definedName>
    <definedName name="EQ_EXTRAATTACK" localSheetId="4">Table12[[#Totals],[Extra 
Attack]]</definedName>
    <definedName name="EQ_EXTRAATTACK" localSheetId="7">Table1218[[#Totals],[Extra 
Attack]]</definedName>
    <definedName name="EQ_EXTRAATTACK">Table12[[#Totals],[Extra 
Attack]]</definedName>
    <definedName name="EQ_MOVEMENT" localSheetId="4">Table12[[#Totals],[Mvmt.]]</definedName>
    <definedName name="EQ_MOVEMENT" localSheetId="7">Table1218[[#Totals],[Mvmt.]]</definedName>
    <definedName name="EQ_MOVEMENT">Table12[[#Totals],[Mvmt.]]</definedName>
    <definedName name="EQ_SPASHDMG" localSheetId="4">Table12[[#Totals],[Splash 
DMG]]</definedName>
    <definedName name="EQ_SPASHDMG" localSheetId="7">Table1218[[#Totals],[Splash 
DMG]]</definedName>
    <definedName name="EQ_SPASHDMG">Table12[[#Totals],[Splash 
DMG]]</definedName>
    <definedName name="EQ_SPLASH" localSheetId="4">Table12[[#Totals],[Splash]]</definedName>
    <definedName name="EQ_SPLASH" localSheetId="7">Table1218[[#Totals],[Splash]]</definedName>
    <definedName name="EQ_SPLASH">Table12[[#Totals],[Splash]]</definedName>
    <definedName name="EQ_SPLASHDMG" localSheetId="4">Table12[[#Totals],[Splash 
DMG]]</definedName>
    <definedName name="EQ_SPLASHDMG" localSheetId="7">Table1218[[#Totals],[Splash 
DMG]]</definedName>
    <definedName name="EQ_SPLASHDMG">Table12[[#Totals],[Splash 
DMG]]</definedName>
    <definedName name="EQ_STAMINA" localSheetId="4">Table12[[#Totals],[Stamina]]</definedName>
    <definedName name="EQ_STAMINA" localSheetId="7">Table1218[[#Totals],[Stamina]]</definedName>
    <definedName name="EQ_STAMINA">Table12[[#Totals],[Stamina]]</definedName>
    <definedName name="EXPERTISE">'Character Info'!$B$6</definedName>
    <definedName name="_xlnm.Extract" localSheetId="0">'Character Sheet'!$AE$16:$BD$16</definedName>
    <definedName name="_xlnm.Extract" localSheetId="5">Feats!$N$25:$O$25</definedName>
    <definedName name="_xlnm.Extract" localSheetId="4">Resistances!$O$7:$Q$7</definedName>
    <definedName name="_xlnm.Extract" localSheetId="3">Skills!$N$9:$O$9</definedName>
    <definedName name="FEAT_AP">Feats!$K$15</definedName>
    <definedName name="FEAT_ARMOR">Feats!$J$11</definedName>
    <definedName name="FEAT_AURA">Feats!$J$12</definedName>
    <definedName name="FEAT_DIRECTEDSTRIKE">Feats!$J$13</definedName>
    <definedName name="FEAT_DMG">Feats!$K$2</definedName>
    <definedName name="FEAT_EXPT">Feats!$J$8</definedName>
    <definedName name="FEAT_INI">Feats!$K$14</definedName>
    <definedName name="FEAT_MOVEMENT">Feats!$J$9</definedName>
    <definedName name="FEAT_SPLASH">Feats!$J$6</definedName>
    <definedName name="FEAT_SPLASHDMG">Feats!$J$7</definedName>
    <definedName name="FEAT_STAMINA">Feats!$J$3</definedName>
    <definedName name="FEATS">Feats!$A$2:$L$19</definedName>
    <definedName name="HP">'Character Info'!$B$7</definedName>
    <definedName name="INU">Statistics!$N$4</definedName>
    <definedName name="INU_TOTAL">Statistics!$M$4</definedName>
    <definedName name="LVL">'Lookup Data'!$B$17</definedName>
    <definedName name="MOVEMENT">'Character Info'!$B$8</definedName>
    <definedName name="Name" localSheetId="4">Resistances!RACES</definedName>
    <definedName name="Name" localSheetId="7">Weapons!RACES</definedName>
    <definedName name="Name">RACES</definedName>
    <definedName name="PER">Statistics!$N$6</definedName>
    <definedName name="PER_TOTAL">Statistics!$M$6</definedName>
    <definedName name="PROF">'Character Info'!$B$5</definedName>
    <definedName name="PROFESSION">'Character Info'!$B$5</definedName>
    <definedName name="PROFESSIONS" localSheetId="4">Table7[#All]</definedName>
    <definedName name="PROFESSIONS" localSheetId="7">Table7[#All]</definedName>
    <definedName name="PROFESSIONS">Table7[#All]</definedName>
    <definedName name="RACE">'Character Info'!$B$4</definedName>
    <definedName name="RACES" localSheetId="4">Table79[#All]</definedName>
    <definedName name="RACES" localSheetId="7">Table79[#All]</definedName>
    <definedName name="RACES">Table79[#All]</definedName>
    <definedName name="RANK_LOOKUP" localSheetId="4">Table10[]</definedName>
    <definedName name="RANK_LOOKUP" localSheetId="7">Table10[]</definedName>
    <definedName name="RANK_LOOKUP">Table10[]</definedName>
    <definedName name="RESISTANCES">Resistances!$A$1:$K$10</definedName>
    <definedName name="SHIELD_TYPE" localSheetId="7">Table1315[#All]</definedName>
    <definedName name="SHIELD_TYPE">Table1315[#All]</definedName>
    <definedName name="SPASH" localSheetId="4">Table12[[#Totals],[Splash]]</definedName>
    <definedName name="SPASH" localSheetId="7">Table1218[[#Totals],[Splash]]</definedName>
    <definedName name="SPASH">Table12[[#Totals],[Splash]]</definedName>
    <definedName name="SPELL_XP">Table18[[#Totals],[XP]]</definedName>
    <definedName name="SPELLS">Table18[#All]</definedName>
    <definedName name="STAMINA">Feats!$J$3</definedName>
    <definedName name="StatisticCodes">Statistics!$B$2:$B$6</definedName>
    <definedName name="Statistics">Statistics!$A$2:$A$6</definedName>
    <definedName name="STR">Statistics!$N$2</definedName>
    <definedName name="STR_TOTAL">Statistics!$M$2</definedName>
    <definedName name="TOTAL_XP">'Character Info'!$L$4</definedName>
    <definedName name="TOTAL_XP_EARNED" localSheetId="4">Table11[[#Totals],[XP]]</definedName>
    <definedName name="TOTAL_XP_EARNED" localSheetId="7">Table11[[#Totals],[XP]]</definedName>
    <definedName name="TOTAL_XP_EARNED">Table11[[#Totals],[XP]]</definedName>
    <definedName name="WEAPON_AGI">Table1218[[#Totals],[AGI]]</definedName>
    <definedName name="WEAPON_ARMOR">Table1218[[#Totals],[Armor]]</definedName>
    <definedName name="WEAPON_AURA">Table1218[[#Totals],[Aura]]</definedName>
    <definedName name="WEAPON_CHA">Table1218[[#Totals],[CHA]]</definedName>
    <definedName name="WEAPON_CRIT">Table1218[[#Totals],[Crit]]</definedName>
    <definedName name="WEAPON_CRITDMG">Table1218[[#Totals],[Crit DMG]]</definedName>
    <definedName name="WEAPON_DIRECTEDSTRIKE">Table1218[[#Totals],[Directed Strike]]</definedName>
    <definedName name="WEAPON_DMG">Table1218[[#Totals],[DMG]]</definedName>
    <definedName name="WEAPON_EXPERTISE">Table1218[[#Totals],[Exprt.]]</definedName>
    <definedName name="WEAPON_EXTRAATTACK">Table1218[[#Totals],[Extra 
Attack]]</definedName>
    <definedName name="WEAPON_INI">Table1218[[#Totals],[INI2]]</definedName>
    <definedName name="WEAPON_INU">Table1218[[#Totals],[INU]]</definedName>
    <definedName name="WEAPON_MOVEMENT">Table1218[[#Totals],[Mvmt.]]</definedName>
    <definedName name="WEAPON_PER">Table1218[[#Totals],[PER]]</definedName>
    <definedName name="WEAPON_SPLASH">Table1218[[#Totals],[Splash]]</definedName>
    <definedName name="WEAPON_SPLASHDMG">Table1218[[#Totals],[Splash 
DMG]]</definedName>
    <definedName name="WEAPON_STAMINA">Table1218[[#Totals],[Stamina]]</definedName>
    <definedName name="WEAPON_STR">Table1218[[#Totals],[STR]]</definedName>
    <definedName name="XP">'Character Info'!$L$4</definedName>
    <definedName name="XP_LEVEL" localSheetId="7">Table6[#All]</definedName>
    <definedName name="XP_LEVEL">Table6[#All]</definedName>
    <definedName name="Yes_No">'Drop Downs'!$A$2:$A$3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F4" i="14" l="1"/>
  <c r="N7" i="5" s="1"/>
  <c r="O7" i="5" s="1"/>
  <c r="G4" i="14" l="1"/>
  <c r="Z13" i="13"/>
  <c r="Z14" i="13"/>
  <c r="Z15" i="13"/>
  <c r="Z16" i="13"/>
  <c r="Z17" i="13"/>
  <c r="Z18" i="13"/>
  <c r="Z19" i="13"/>
  <c r="Z20" i="13"/>
  <c r="Z21" i="13"/>
  <c r="D25" i="10"/>
  <c r="Y24" i="1"/>
  <c r="H39" i="1"/>
  <c r="H38" i="1"/>
  <c r="H37" i="1"/>
  <c r="H36" i="1"/>
  <c r="H35" i="1"/>
  <c r="H34" i="1"/>
  <c r="H33" i="1"/>
  <c r="H32" i="1"/>
  <c r="H31" i="1"/>
  <c r="H30" i="1"/>
  <c r="H29" i="1"/>
  <c r="H28" i="1"/>
  <c r="H27" i="1"/>
  <c r="H26" i="1"/>
  <c r="H25" i="1"/>
  <c r="H24" i="1"/>
  <c r="H23" i="1"/>
  <c r="H22" i="1"/>
  <c r="H21" i="1"/>
  <c r="H20" i="1"/>
  <c r="H19" i="1"/>
  <c r="H18" i="1"/>
  <c r="H17" i="1"/>
  <c r="H16" i="1"/>
  <c r="H15" i="1"/>
  <c r="H14" i="1"/>
  <c r="H13" i="1"/>
  <c r="AB2" i="1"/>
  <c r="S2" i="1"/>
  <c r="B2" i="1"/>
  <c r="O3" i="4"/>
  <c r="O4" i="4"/>
  <c r="O5" i="4"/>
  <c r="O6" i="4"/>
  <c r="Y22" i="13"/>
  <c r="K6" i="4" s="1"/>
  <c r="X22" i="13"/>
  <c r="K5" i="4" s="1"/>
  <c r="W22" i="13"/>
  <c r="K4" i="4" s="1"/>
  <c r="V22" i="13"/>
  <c r="K3" i="4" s="1"/>
  <c r="U22" i="13"/>
  <c r="K2" i="4" s="1"/>
  <c r="T22" i="13"/>
  <c r="S22" i="13"/>
  <c r="R22" i="13"/>
  <c r="Q22" i="13"/>
  <c r="P22" i="13"/>
  <c r="O22" i="13"/>
  <c r="N22" i="13"/>
  <c r="M22" i="13"/>
  <c r="L22" i="13"/>
  <c r="K22" i="13"/>
  <c r="J22" i="13"/>
  <c r="I22" i="13"/>
  <c r="H22" i="13"/>
  <c r="U22" i="10"/>
  <c r="J6" i="4" s="1"/>
  <c r="T22" i="10"/>
  <c r="J5" i="4" s="1"/>
  <c r="S22" i="10"/>
  <c r="J4" i="4" s="1"/>
  <c r="R22" i="10"/>
  <c r="J3" i="4" s="1"/>
  <c r="Q22" i="10"/>
  <c r="J2" i="4" s="1"/>
  <c r="F26" i="10"/>
  <c r="F27" i="10" s="1"/>
  <c r="E26" i="10"/>
  <c r="D26" i="10"/>
  <c r="E25" i="10"/>
  <c r="C26" i="10"/>
  <c r="C25" i="10"/>
  <c r="F17" i="12"/>
  <c r="E17" i="12"/>
  <c r="D17" i="12"/>
  <c r="C17" i="12"/>
  <c r="I16" i="12"/>
  <c r="H16" i="12"/>
  <c r="G16" i="12"/>
  <c r="I15" i="12"/>
  <c r="H15" i="12"/>
  <c r="G15" i="12"/>
  <c r="I14" i="12"/>
  <c r="H14" i="12"/>
  <c r="G14" i="12"/>
  <c r="I13" i="12"/>
  <c r="H13" i="12"/>
  <c r="G13" i="12"/>
  <c r="I12" i="12"/>
  <c r="H12" i="12"/>
  <c r="G12" i="12"/>
  <c r="I11" i="12"/>
  <c r="H11" i="12"/>
  <c r="G11" i="12"/>
  <c r="I10" i="12"/>
  <c r="H10" i="12"/>
  <c r="G10" i="12"/>
  <c r="I9" i="12"/>
  <c r="H9" i="12"/>
  <c r="G9" i="12"/>
  <c r="I8" i="12"/>
  <c r="H8" i="12"/>
  <c r="G8" i="12"/>
  <c r="I7" i="12"/>
  <c r="H7" i="12"/>
  <c r="G7" i="12"/>
  <c r="I6" i="12"/>
  <c r="H6" i="12"/>
  <c r="G6" i="12"/>
  <c r="I5" i="12"/>
  <c r="H5" i="12"/>
  <c r="G5" i="12"/>
  <c r="I4" i="12"/>
  <c r="H4" i="12"/>
  <c r="G4" i="12"/>
  <c r="I3" i="12"/>
  <c r="H3" i="12"/>
  <c r="G3" i="12"/>
  <c r="J2" i="12"/>
  <c r="I2" i="12"/>
  <c r="H2" i="12"/>
  <c r="G2" i="12"/>
  <c r="G27" i="2"/>
  <c r="H27" i="2"/>
  <c r="I27" i="2"/>
  <c r="G28" i="2"/>
  <c r="H28" i="2"/>
  <c r="I28" i="2"/>
  <c r="G29" i="2"/>
  <c r="H29" i="2"/>
  <c r="I29" i="2"/>
  <c r="G30" i="2"/>
  <c r="H30" i="2"/>
  <c r="I30" i="2"/>
  <c r="I26" i="2"/>
  <c r="H26" i="2"/>
  <c r="G26" i="2"/>
  <c r="G31" i="2"/>
  <c r="H31" i="2"/>
  <c r="I31" i="2"/>
  <c r="G32" i="2"/>
  <c r="H32" i="2"/>
  <c r="I32" i="2"/>
  <c r="G33" i="2"/>
  <c r="H33" i="2"/>
  <c r="I33" i="2"/>
  <c r="G34" i="2"/>
  <c r="H34" i="2"/>
  <c r="I34" i="2"/>
  <c r="P22" i="10"/>
  <c r="M22" i="10"/>
  <c r="L22" i="10"/>
  <c r="D10" i="8" s="1"/>
  <c r="F10" i="8" s="1"/>
  <c r="J10" i="8" s="1"/>
  <c r="K10" i="8" s="1"/>
  <c r="Y21" i="1" s="1"/>
  <c r="K22" i="10"/>
  <c r="J22" i="10"/>
  <c r="D8" i="8" s="1"/>
  <c r="F8" i="8" s="1"/>
  <c r="I22" i="10"/>
  <c r="D7" i="8" s="1"/>
  <c r="F7" i="8" s="1"/>
  <c r="J7" i="8" s="1"/>
  <c r="K7" i="8" s="1"/>
  <c r="Y18" i="1" s="1"/>
  <c r="H22" i="10"/>
  <c r="D6" i="8" s="1"/>
  <c r="F6" i="8" s="1"/>
  <c r="G22" i="10"/>
  <c r="D5" i="8" s="1"/>
  <c r="F5" i="8" s="1"/>
  <c r="J5" i="8" s="1"/>
  <c r="K5" i="8" s="1"/>
  <c r="Y16" i="1" s="1"/>
  <c r="N22" i="10"/>
  <c r="D12" i="8" s="1"/>
  <c r="F12" i="8" s="1"/>
  <c r="J12" i="8" s="1"/>
  <c r="B10" i="5" s="1"/>
  <c r="R9" i="1" s="1"/>
  <c r="O22" i="10"/>
  <c r="F22" i="10"/>
  <c r="D4" i="8" s="1"/>
  <c r="F4" i="8" s="1"/>
  <c r="J4" i="8" s="1"/>
  <c r="K4" i="8" s="1"/>
  <c r="E22" i="10"/>
  <c r="D3" i="8" s="1"/>
  <c r="F3" i="8" s="1"/>
  <c r="D22" i="10"/>
  <c r="D2" i="8" s="1"/>
  <c r="I4" i="5"/>
  <c r="J4" i="5"/>
  <c r="R43" i="5"/>
  <c r="K4" i="5" s="1"/>
  <c r="L7" i="8"/>
  <c r="L12" i="8"/>
  <c r="H12" i="8"/>
  <c r="L11" i="8"/>
  <c r="H11" i="8"/>
  <c r="L10" i="8"/>
  <c r="H8" i="8"/>
  <c r="F13" i="8"/>
  <c r="F15" i="8"/>
  <c r="J15" i="8" s="1"/>
  <c r="K15" i="8" s="1"/>
  <c r="E12" i="5" s="1"/>
  <c r="B12" i="5" s="1"/>
  <c r="AQ9" i="1" s="1"/>
  <c r="F16" i="8"/>
  <c r="F17" i="8"/>
  <c r="F18" i="8"/>
  <c r="F19" i="8"/>
  <c r="L3" i="8"/>
  <c r="L4" i="8"/>
  <c r="L5" i="8"/>
  <c r="L6" i="8"/>
  <c r="L8" i="8"/>
  <c r="L9" i="8"/>
  <c r="L13" i="8"/>
  <c r="L14" i="8"/>
  <c r="L15" i="8"/>
  <c r="L16" i="8"/>
  <c r="L17" i="8"/>
  <c r="L18" i="8"/>
  <c r="L19" i="8"/>
  <c r="K16" i="8"/>
  <c r="K17" i="8"/>
  <c r="K18" i="8"/>
  <c r="K19" i="8"/>
  <c r="H3" i="8"/>
  <c r="L2" i="8"/>
  <c r="F3" i="9"/>
  <c r="F4" i="9" s="1"/>
  <c r="F5" i="9" s="1"/>
  <c r="F6" i="9" s="1"/>
  <c r="F7" i="9" s="1"/>
  <c r="F8" i="9" s="1"/>
  <c r="F9" i="9" s="1"/>
  <c r="F10" i="9" s="1"/>
  <c r="F11" i="9" s="1"/>
  <c r="F12" i="9" s="1"/>
  <c r="F13" i="9" s="1"/>
  <c r="F14" i="9" s="1"/>
  <c r="H2" i="8"/>
  <c r="E7" i="5"/>
  <c r="U13" i="7"/>
  <c r="U14" i="7"/>
  <c r="U15" i="7"/>
  <c r="U16" i="7"/>
  <c r="U17" i="7"/>
  <c r="U18" i="7"/>
  <c r="U19" i="7"/>
  <c r="U20" i="7"/>
  <c r="U21" i="7"/>
  <c r="U22" i="7"/>
  <c r="U23" i="7"/>
  <c r="U24" i="7"/>
  <c r="U25" i="7"/>
  <c r="U26" i="7"/>
  <c r="U27" i="7"/>
  <c r="U28" i="7"/>
  <c r="U29" i="7"/>
  <c r="U30" i="7"/>
  <c r="U31" i="7"/>
  <c r="U32" i="7"/>
  <c r="U33" i="7"/>
  <c r="T4" i="6"/>
  <c r="T5" i="6"/>
  <c r="T6" i="6"/>
  <c r="T7" i="6"/>
  <c r="T8" i="6"/>
  <c r="T9" i="6"/>
  <c r="T10" i="6"/>
  <c r="T11" i="6"/>
  <c r="T12" i="6"/>
  <c r="T13" i="6"/>
  <c r="T14" i="6"/>
  <c r="T15" i="6"/>
  <c r="T16" i="6"/>
  <c r="T17" i="6"/>
  <c r="T18" i="6"/>
  <c r="T19" i="6"/>
  <c r="T20" i="6"/>
  <c r="T21" i="6"/>
  <c r="T22" i="6"/>
  <c r="T23" i="6"/>
  <c r="T24" i="6"/>
  <c r="T25" i="6"/>
  <c r="T26" i="6"/>
  <c r="T27" i="6"/>
  <c r="T28" i="6"/>
  <c r="T29" i="6"/>
  <c r="T30" i="6"/>
  <c r="T31" i="6"/>
  <c r="T32" i="6"/>
  <c r="T33" i="6"/>
  <c r="T34" i="6"/>
  <c r="T35" i="6"/>
  <c r="T36" i="6"/>
  <c r="T37" i="6"/>
  <c r="T38" i="6"/>
  <c r="T39" i="6"/>
  <c r="T40" i="6"/>
  <c r="T41" i="6"/>
  <c r="T42" i="6"/>
  <c r="T43" i="6"/>
  <c r="T44" i="6"/>
  <c r="T45" i="6"/>
  <c r="T46" i="6"/>
  <c r="T47" i="6"/>
  <c r="T48" i="6"/>
  <c r="T49" i="6"/>
  <c r="T50" i="6"/>
  <c r="T51" i="6"/>
  <c r="T52" i="6"/>
  <c r="T53" i="6"/>
  <c r="T54" i="6"/>
  <c r="T55" i="6"/>
  <c r="T56" i="6"/>
  <c r="T57" i="6"/>
  <c r="T58" i="6"/>
  <c r="T3" i="6"/>
  <c r="H3" i="2"/>
  <c r="H4" i="2"/>
  <c r="H5" i="2"/>
  <c r="H6" i="2"/>
  <c r="H7" i="2"/>
  <c r="H8" i="2"/>
  <c r="H9" i="2"/>
  <c r="H10" i="2"/>
  <c r="H11" i="2"/>
  <c r="H12" i="2"/>
  <c r="H13" i="2"/>
  <c r="H14" i="2"/>
  <c r="H15" i="2"/>
  <c r="H16" i="2"/>
  <c r="H17" i="2"/>
  <c r="H18" i="2"/>
  <c r="H19" i="2"/>
  <c r="H20" i="2"/>
  <c r="H21" i="2"/>
  <c r="H22" i="2"/>
  <c r="H23" i="2"/>
  <c r="H24" i="2"/>
  <c r="H25" i="2"/>
  <c r="H6" i="4"/>
  <c r="H5" i="4"/>
  <c r="H4" i="4"/>
  <c r="H3" i="4"/>
  <c r="H2" i="4"/>
  <c r="U4" i="7"/>
  <c r="U5" i="7"/>
  <c r="U6" i="7"/>
  <c r="U7" i="7"/>
  <c r="U8" i="7"/>
  <c r="U9" i="7"/>
  <c r="U10" i="7"/>
  <c r="U11" i="7"/>
  <c r="U12" i="7"/>
  <c r="U3" i="7"/>
  <c r="I6" i="4"/>
  <c r="I5" i="4"/>
  <c r="I4" i="4"/>
  <c r="I3" i="4"/>
  <c r="I2" i="4"/>
  <c r="I3" i="2"/>
  <c r="I4" i="2"/>
  <c r="I5" i="2"/>
  <c r="I6" i="2"/>
  <c r="I7" i="2"/>
  <c r="I8" i="2"/>
  <c r="I9" i="2"/>
  <c r="I10" i="2"/>
  <c r="I11" i="2"/>
  <c r="I12" i="2"/>
  <c r="I13" i="2"/>
  <c r="I14" i="2"/>
  <c r="I15" i="2"/>
  <c r="I16" i="2"/>
  <c r="I17" i="2"/>
  <c r="I18" i="2"/>
  <c r="I19" i="2"/>
  <c r="I20" i="2"/>
  <c r="I21" i="2"/>
  <c r="I22" i="2"/>
  <c r="I23" i="2"/>
  <c r="I24" i="2"/>
  <c r="I25" i="2"/>
  <c r="G10" i="2"/>
  <c r="G11" i="2"/>
  <c r="G7" i="2"/>
  <c r="Y26" i="1" l="1"/>
  <c r="Y15" i="1"/>
  <c r="C27" i="10"/>
  <c r="D11" i="8" s="1"/>
  <c r="F11" i="8" s="1"/>
  <c r="J11" i="8" s="1"/>
  <c r="E27" i="10"/>
  <c r="D9" i="8" s="1"/>
  <c r="F9" i="8" s="1"/>
  <c r="J9" i="8" s="1"/>
  <c r="K9" i="8" s="1"/>
  <c r="D27" i="10"/>
  <c r="D14" i="8" s="1"/>
  <c r="K4" i="2"/>
  <c r="N15" i="1" s="1"/>
  <c r="K16" i="12"/>
  <c r="K28" i="2"/>
  <c r="N39" i="1" s="1"/>
  <c r="K29" i="2"/>
  <c r="K6" i="12"/>
  <c r="Y34" i="1" s="1"/>
  <c r="B17" i="12"/>
  <c r="K10" i="12"/>
  <c r="Y38" i="1" s="1"/>
  <c r="K2" i="12"/>
  <c r="Y30" i="1" s="1"/>
  <c r="K7" i="12"/>
  <c r="Y35" i="1" s="1"/>
  <c r="K13" i="12"/>
  <c r="K8" i="12"/>
  <c r="Y36" i="1" s="1"/>
  <c r="K14" i="12"/>
  <c r="K5" i="12"/>
  <c r="Y33" i="1" s="1"/>
  <c r="K11" i="12"/>
  <c r="K3" i="12"/>
  <c r="Y31" i="1" s="1"/>
  <c r="K12" i="12"/>
  <c r="K9" i="12"/>
  <c r="Y37" i="1" s="1"/>
  <c r="K15" i="12"/>
  <c r="K27" i="2"/>
  <c r="N38" i="1" s="1"/>
  <c r="K4" i="12"/>
  <c r="Y32" i="1" s="1"/>
  <c r="K26" i="2"/>
  <c r="N37" i="1" s="1"/>
  <c r="K31" i="2"/>
  <c r="K30" i="2"/>
  <c r="K33" i="2"/>
  <c r="K34" i="2"/>
  <c r="K32" i="2"/>
  <c r="L4" i="5"/>
  <c r="AN2" i="1" s="1"/>
  <c r="J2" i="8"/>
  <c r="K2" i="8" s="1"/>
  <c r="Y13" i="1" s="1"/>
  <c r="F2" i="8"/>
  <c r="K7" i="2"/>
  <c r="N18" i="1" s="1"/>
  <c r="K10" i="2"/>
  <c r="N21" i="1" s="1"/>
  <c r="K11" i="2"/>
  <c r="N22" i="1" s="1"/>
  <c r="J8" i="8"/>
  <c r="K12" i="8"/>
  <c r="Y23" i="1" s="1"/>
  <c r="J6" i="8"/>
  <c r="K6" i="8" s="1"/>
  <c r="Y17" i="1" s="1"/>
  <c r="M5" i="4"/>
  <c r="F35" i="2"/>
  <c r="E35" i="2"/>
  <c r="D35" i="2"/>
  <c r="C35" i="2"/>
  <c r="C7" i="4"/>
  <c r="E7" i="4"/>
  <c r="D7" i="4"/>
  <c r="M3" i="4"/>
  <c r="M4" i="4"/>
  <c r="M6" i="4"/>
  <c r="M2" i="4"/>
  <c r="F3" i="4"/>
  <c r="F4" i="4"/>
  <c r="F6" i="4"/>
  <c r="F2" i="4"/>
  <c r="K14" i="8" l="1"/>
  <c r="AL9" i="1" s="1"/>
  <c r="F14" i="8"/>
  <c r="J14" i="8" s="1"/>
  <c r="N3" i="4"/>
  <c r="C19" i="1"/>
  <c r="N4" i="4"/>
  <c r="C26" i="1"/>
  <c r="N5" i="4"/>
  <c r="B30" i="1" s="1"/>
  <c r="C33" i="1"/>
  <c r="N2" i="4"/>
  <c r="C12" i="1"/>
  <c r="N6" i="4"/>
  <c r="B37" i="1" s="1"/>
  <c r="C40" i="1"/>
  <c r="B9" i="5"/>
  <c r="M9" i="1" s="1"/>
  <c r="K11" i="8"/>
  <c r="Y22" i="1" s="1"/>
  <c r="E8" i="5"/>
  <c r="Y20" i="1"/>
  <c r="D6" i="5"/>
  <c r="B3" i="5"/>
  <c r="K8" i="8"/>
  <c r="Y19" i="1" s="1"/>
  <c r="E6" i="5"/>
  <c r="B17" i="9"/>
  <c r="H2" i="2"/>
  <c r="B35" i="2"/>
  <c r="J7" i="5" s="1"/>
  <c r="B7" i="4"/>
  <c r="I7" i="5" s="1"/>
  <c r="G3" i="2"/>
  <c r="K3" i="2" s="1"/>
  <c r="N14" i="1" s="1"/>
  <c r="G4" i="2"/>
  <c r="G5" i="2"/>
  <c r="K5" i="2" s="1"/>
  <c r="N16" i="1" s="1"/>
  <c r="G6" i="2"/>
  <c r="K6" i="2" s="1"/>
  <c r="N17" i="1" s="1"/>
  <c r="G8" i="2"/>
  <c r="K8" i="2" s="1"/>
  <c r="N19" i="1" s="1"/>
  <c r="G9" i="2"/>
  <c r="K9" i="2" s="1"/>
  <c r="N20" i="1" s="1"/>
  <c r="G12" i="2"/>
  <c r="K12" i="2" s="1"/>
  <c r="N23" i="1" s="1"/>
  <c r="G13" i="2"/>
  <c r="K13" i="2" s="1"/>
  <c r="N24" i="1" s="1"/>
  <c r="G14" i="2"/>
  <c r="K14" i="2" s="1"/>
  <c r="N25" i="1" s="1"/>
  <c r="G15" i="2"/>
  <c r="K15" i="2" s="1"/>
  <c r="N26" i="1" s="1"/>
  <c r="G16" i="2"/>
  <c r="K16" i="2" s="1"/>
  <c r="N27" i="1" s="1"/>
  <c r="G17" i="2"/>
  <c r="K17" i="2" s="1"/>
  <c r="N28" i="1" s="1"/>
  <c r="G18" i="2"/>
  <c r="K18" i="2" s="1"/>
  <c r="N29" i="1" s="1"/>
  <c r="G19" i="2"/>
  <c r="K19" i="2" s="1"/>
  <c r="N30" i="1" s="1"/>
  <c r="G20" i="2"/>
  <c r="K20" i="2" s="1"/>
  <c r="N31" i="1" s="1"/>
  <c r="G21" i="2"/>
  <c r="K21" i="2" s="1"/>
  <c r="N32" i="1" s="1"/>
  <c r="G22" i="2"/>
  <c r="K22" i="2" s="1"/>
  <c r="N33" i="1" s="1"/>
  <c r="G23" i="2"/>
  <c r="K23" i="2" s="1"/>
  <c r="N34" i="1" s="1"/>
  <c r="G24" i="2"/>
  <c r="K24" i="2" s="1"/>
  <c r="N35" i="1" s="1"/>
  <c r="G25" i="2"/>
  <c r="K25" i="2" s="1"/>
  <c r="N36" i="1" s="1"/>
  <c r="G2" i="2"/>
  <c r="B23" i="1" l="1"/>
  <c r="Z11" i="13"/>
  <c r="B16" i="1"/>
  <c r="Z10" i="13"/>
  <c r="Z9" i="13"/>
  <c r="B9" i="1"/>
  <c r="Z4" i="13"/>
  <c r="Z12" i="13"/>
  <c r="Z5" i="13"/>
  <c r="Z6" i="13"/>
  <c r="Z3" i="13"/>
  <c r="AE16" i="1" s="1"/>
  <c r="Z7" i="13"/>
  <c r="Z8" i="13"/>
  <c r="I2" i="2"/>
  <c r="AS2" i="1"/>
  <c r="Y25" i="1"/>
  <c r="E11" i="5"/>
  <c r="D7" i="5"/>
  <c r="J3" i="8" s="1"/>
  <c r="K3" i="8" s="1"/>
  <c r="Y14" i="1" s="1"/>
  <c r="B6" i="5"/>
  <c r="W9" i="1" s="1"/>
  <c r="K9" i="5"/>
  <c r="B11" i="5" l="1"/>
  <c r="J2" i="2"/>
  <c r="K2" i="2" s="1"/>
  <c r="N13" i="1" s="1"/>
  <c r="O2" i="4"/>
  <c r="F7" i="5"/>
  <c r="B7" i="5" s="1"/>
  <c r="H9" i="1" s="1"/>
  <c r="B8" i="5"/>
  <c r="AB9" i="1" s="1"/>
  <c r="AG9" i="1" l="1"/>
</calcChain>
</file>

<file path=xl/sharedStrings.xml><?xml version="1.0" encoding="utf-8"?>
<sst xmlns="http://schemas.openxmlformats.org/spreadsheetml/2006/main" count="692" uniqueCount="235">
  <si>
    <t>Weapon Skill</t>
  </si>
  <si>
    <t>Unarmed Skill</t>
  </si>
  <si>
    <t>Ballistic Skill</t>
  </si>
  <si>
    <t>Tactics</t>
  </si>
  <si>
    <t>Magic Skill</t>
  </si>
  <si>
    <t>History</t>
  </si>
  <si>
    <t>Animal Handler</t>
  </si>
  <si>
    <t>Insight</t>
  </si>
  <si>
    <t>Slight of Hand</t>
  </si>
  <si>
    <t>Deception</t>
  </si>
  <si>
    <t>Charm</t>
  </si>
  <si>
    <t>Torture</t>
  </si>
  <si>
    <t>Inspire</t>
  </si>
  <si>
    <t>Stealth</t>
  </si>
  <si>
    <t>Guard</t>
  </si>
  <si>
    <t>Law</t>
  </si>
  <si>
    <t>Culture</t>
  </si>
  <si>
    <t>Arcane Lore</t>
  </si>
  <si>
    <t>Concoct Poison</t>
  </si>
  <si>
    <t>Medicine</t>
  </si>
  <si>
    <t>Interrogate</t>
  </si>
  <si>
    <t>Dodge</t>
  </si>
  <si>
    <t>Name</t>
  </si>
  <si>
    <t>Bought</t>
  </si>
  <si>
    <t>Skilled</t>
  </si>
  <si>
    <t>Expert</t>
  </si>
  <si>
    <t>Professional</t>
  </si>
  <si>
    <t>Yes/No</t>
  </si>
  <si>
    <t>Yes</t>
  </si>
  <si>
    <t>No</t>
  </si>
  <si>
    <t>Strength</t>
  </si>
  <si>
    <t>Agility</t>
  </si>
  <si>
    <t>Intuition</t>
  </si>
  <si>
    <t>Perception</t>
  </si>
  <si>
    <t>Statistic</t>
  </si>
  <si>
    <t>Code</t>
  </si>
  <si>
    <t>STR</t>
  </si>
  <si>
    <t>AGI</t>
  </si>
  <si>
    <t>INU</t>
  </si>
  <si>
    <t>PER</t>
  </si>
  <si>
    <t>STAT</t>
  </si>
  <si>
    <t>LEVEL</t>
  </si>
  <si>
    <t>DICE</t>
  </si>
  <si>
    <t>EXP.</t>
  </si>
  <si>
    <t>TOTAL</t>
  </si>
  <si>
    <t>EQ.</t>
  </si>
  <si>
    <t>BONUS</t>
  </si>
  <si>
    <t>START</t>
  </si>
  <si>
    <t>PROF</t>
  </si>
  <si>
    <t>Total</t>
  </si>
  <si>
    <t>RACE</t>
  </si>
  <si>
    <t>Total XP</t>
  </si>
  <si>
    <t>XP</t>
  </si>
  <si>
    <t>Profession</t>
  </si>
  <si>
    <t>Charisma</t>
  </si>
  <si>
    <t>CHA</t>
  </si>
  <si>
    <t>1d10</t>
  </si>
  <si>
    <t>Acrobatics</t>
  </si>
  <si>
    <t>Level</t>
  </si>
  <si>
    <t>Race</t>
  </si>
  <si>
    <t>Prof.</t>
  </si>
  <si>
    <t>Stats</t>
  </si>
  <si>
    <t>Skills</t>
  </si>
  <si>
    <t>Feats</t>
  </si>
  <si>
    <t>Resistances</t>
  </si>
  <si>
    <t>Resist.</t>
  </si>
  <si>
    <t>Specials</t>
  </si>
  <si>
    <t>Religion</t>
  </si>
  <si>
    <t>Religious Magic</t>
  </si>
  <si>
    <t>Expertise</t>
  </si>
  <si>
    <t>Column2</t>
  </si>
  <si>
    <t>Column3</t>
  </si>
  <si>
    <t>Column4</t>
  </si>
  <si>
    <t>XP and how it's being used:</t>
  </si>
  <si>
    <t>XP Rmaining:</t>
  </si>
  <si>
    <t>Current lvl:</t>
  </si>
  <si>
    <t>Stength</t>
  </si>
  <si>
    <t>HP Factor</t>
  </si>
  <si>
    <t>Soldier</t>
  </si>
  <si>
    <t>Barbarian</t>
  </si>
  <si>
    <t>Defender</t>
  </si>
  <si>
    <t>Column5</t>
  </si>
  <si>
    <t>Column6</t>
  </si>
  <si>
    <t>Column7</t>
  </si>
  <si>
    <t>Column8</t>
  </si>
  <si>
    <t>Column9</t>
  </si>
  <si>
    <t>Column10</t>
  </si>
  <si>
    <t>Column11</t>
  </si>
  <si>
    <t>Weapons</t>
  </si>
  <si>
    <t>Elf</t>
  </si>
  <si>
    <t>Drawf</t>
  </si>
  <si>
    <t>Human</t>
  </si>
  <si>
    <t>Orc</t>
  </si>
  <si>
    <t>Halfling</t>
  </si>
  <si>
    <t>Rahmsha</t>
  </si>
  <si>
    <t>Half-Elven</t>
  </si>
  <si>
    <t>Half-Orc</t>
  </si>
  <si>
    <t>Indir</t>
  </si>
  <si>
    <t>Half-Indir</t>
  </si>
  <si>
    <t>STATS</t>
  </si>
  <si>
    <t>Goblin</t>
  </si>
  <si>
    <t>HP</t>
  </si>
  <si>
    <t>Rank</t>
  </si>
  <si>
    <t>Factor</t>
  </si>
  <si>
    <t>Prefix</t>
  </si>
  <si>
    <t>Postfix</t>
  </si>
  <si>
    <t>Weapon</t>
  </si>
  <si>
    <t>Equip.</t>
  </si>
  <si>
    <t>Result</t>
  </si>
  <si>
    <t>DMG</t>
  </si>
  <si>
    <t>XP_ADD</t>
  </si>
  <si>
    <t>Stamina</t>
  </si>
  <si>
    <t>Crit</t>
  </si>
  <si>
    <t>%</t>
  </si>
  <si>
    <t>Crit DMG</t>
  </si>
  <si>
    <t>+</t>
  </si>
  <si>
    <t>Spash</t>
  </si>
  <si>
    <t>CALC</t>
  </si>
  <si>
    <t>Movement</t>
  </si>
  <si>
    <t>ft</t>
  </si>
  <si>
    <t>Extra Attack</t>
  </si>
  <si>
    <t>Armor</t>
  </si>
  <si>
    <t>Aura</t>
  </si>
  <si>
    <t>Splash DMG</t>
  </si>
  <si>
    <t>Special</t>
  </si>
  <si>
    <t>Add these crit d4 rolls to your crit dmg</t>
  </si>
  <si>
    <t>Increase your HP by a factor of 0,1 per rank</t>
  </si>
  <si>
    <t>Straight up DMG, should mittigate the Armor or Aura feats</t>
  </si>
  <si>
    <t>Chance to critically hit, roll double weapon dice</t>
  </si>
  <si>
    <t>Chance to hit a second target</t>
  </si>
  <si>
    <t>DMG done to the second target when Spash hits</t>
  </si>
  <si>
    <t>Increase your skill when you are an expert</t>
  </si>
  <si>
    <t>Chance to roll for another attack</t>
  </si>
  <si>
    <t>Decrease DMG taken by a fixed amount</t>
  </si>
  <si>
    <t>Decrease magical DMG taken, and chance to resist a magical attack</t>
  </si>
  <si>
    <t>Character Name</t>
  </si>
  <si>
    <t>Date</t>
  </si>
  <si>
    <t>Description</t>
  </si>
  <si>
    <t>None</t>
  </si>
  <si>
    <t>Location</t>
  </si>
  <si>
    <t>Splash</t>
  </si>
  <si>
    <t>Directed Strike</t>
  </si>
  <si>
    <t>Head</t>
  </si>
  <si>
    <t>Torso</t>
  </si>
  <si>
    <t>Arms</t>
  </si>
  <si>
    <t>Hands</t>
  </si>
  <si>
    <t>Legs</t>
  </si>
  <si>
    <t>Feet</t>
  </si>
  <si>
    <t>Ring Left</t>
  </si>
  <si>
    <t>Ring Right</t>
  </si>
  <si>
    <t>Bracers</t>
  </si>
  <si>
    <t>Neck</t>
  </si>
  <si>
    <t>Leather</t>
  </si>
  <si>
    <t>Enabled</t>
  </si>
  <si>
    <t>Exprt.</t>
  </si>
  <si>
    <t>Mvmt.</t>
  </si>
  <si>
    <t>Splash 
DMG</t>
  </si>
  <si>
    <t>Extra 
Attack</t>
  </si>
  <si>
    <t>Can call shots, increasing crit chance and DMG at the cost of Skill and Action Points.</t>
  </si>
  <si>
    <t>Initiative (INI)</t>
  </si>
  <si>
    <t>INI</t>
  </si>
  <si>
    <t>Cloth</t>
  </si>
  <si>
    <t>Mail</t>
  </si>
  <si>
    <t>Plate</t>
  </si>
  <si>
    <t>Type</t>
  </si>
  <si>
    <t>Small</t>
  </si>
  <si>
    <t>Medium</t>
  </si>
  <si>
    <t>Large</t>
  </si>
  <si>
    <t>Body</t>
  </si>
  <si>
    <t>Shield</t>
  </si>
  <si>
    <t>Language</t>
  </si>
  <si>
    <t>Death</t>
  </si>
  <si>
    <t>Holy</t>
  </si>
  <si>
    <t>Radiant</t>
  </si>
  <si>
    <t>Poison</t>
  </si>
  <si>
    <t>Disease</t>
  </si>
  <si>
    <t>Ice &amp; Cold</t>
  </si>
  <si>
    <t>Fire &amp; Heat</t>
  </si>
  <si>
    <t>Illusion</t>
  </si>
  <si>
    <t>Mental</t>
  </si>
  <si>
    <t>Movemt.</t>
  </si>
  <si>
    <t>Roll</t>
  </si>
  <si>
    <t>Peter Pan</t>
  </si>
  <si>
    <t>Dagger</t>
  </si>
  <si>
    <t>#</t>
  </si>
  <si>
    <t>Dice</t>
  </si>
  <si>
    <t>Constant</t>
  </si>
  <si>
    <t>Statistics</t>
  </si>
  <si>
    <t>Rogue</t>
  </si>
  <si>
    <t>Druid - Dreamer</t>
  </si>
  <si>
    <t>Druid - Shifter</t>
  </si>
  <si>
    <t>Paladin</t>
  </si>
  <si>
    <t>Monk</t>
  </si>
  <si>
    <t>Earth Mage</t>
  </si>
  <si>
    <t>Air Mage</t>
  </si>
  <si>
    <t>Water Mage</t>
  </si>
  <si>
    <t>Necromancer</t>
  </si>
  <si>
    <t>Deamonologist</t>
  </si>
  <si>
    <t>Arcanist</t>
  </si>
  <si>
    <t>Arcane Warrior</t>
  </si>
  <si>
    <t>Priest</t>
  </si>
  <si>
    <t>Cleric</t>
  </si>
  <si>
    <t>Hunter</t>
  </si>
  <si>
    <t>PROFESSION</t>
  </si>
  <si>
    <t>TotalRank</t>
  </si>
  <si>
    <t>Melee</t>
  </si>
  <si>
    <t>Ranged</t>
  </si>
  <si>
    <t>Magic</t>
  </si>
  <si>
    <t>Initiative</t>
  </si>
  <si>
    <t>Action Points</t>
  </si>
  <si>
    <t>Totals</t>
  </si>
  <si>
    <t>Increase your initiative and decrease your role.</t>
  </si>
  <si>
    <t>AP</t>
  </si>
  <si>
    <t>Increase your base movement speed, the number of feet per 10 INI</t>
  </si>
  <si>
    <t>Custom 1</t>
  </si>
  <si>
    <t>Custom 2</t>
  </si>
  <si>
    <t>Custom 3</t>
  </si>
  <si>
    <t>Custom 4</t>
  </si>
  <si>
    <t>INI Role</t>
  </si>
  <si>
    <t>INI2</t>
  </si>
  <si>
    <t>2-H Warhammer</t>
  </si>
  <si>
    <t>Spear</t>
  </si>
  <si>
    <t>Maul (2-H)</t>
  </si>
  <si>
    <t>Longsword</t>
  </si>
  <si>
    <t>Greataxe</t>
  </si>
  <si>
    <t>Longbow</t>
  </si>
  <si>
    <t>Shortbow</t>
  </si>
  <si>
    <t>Source</t>
  </si>
  <si>
    <t>Wand</t>
  </si>
  <si>
    <t>Find Object</t>
  </si>
  <si>
    <t>Arcane</t>
  </si>
  <si>
    <t>Alarm</t>
  </si>
  <si>
    <t>You can spend 10 minutes to place an alarm in a room, at doors and windows. You will know if someone enters that room as long as you stay within 1 km rang of the warded room.</t>
  </si>
  <si>
    <t>Find Something which has been stolen. You should take another thing of that person and use it to locate the stolen item. Only works if the person is the real owner and had the object in posesion for longer than a month.</t>
  </si>
  <si>
    <t>Spells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</si>
</sst>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2"/>
      <color theme="1"/>
      <name val="Calibri"/>
      <family val="2"/>
      <scheme val="minor"/>
    </font>
    <font>
      <sz val="16"/>
      <color theme="1"/>
      <name val="Calibri"/>
      <family val="2"/>
      <scheme val="minor"/>
    </font>
    <font>
      <b/>
      <sz val="16"/>
      <color theme="0"/>
      <name val="Calibri"/>
      <family val="2"/>
      <scheme val="minor"/>
    </font>
    <font>
      <b/>
      <sz val="16"/>
      <color theme="1"/>
      <name val="Calibri"/>
      <family val="2"/>
      <scheme val="minor"/>
    </font>
    <font>
      <sz val="12"/>
      <color theme="1"/>
      <name val="Apple Chancery"/>
      <family val="4"/>
    </font>
    <font>
      <sz val="24"/>
      <color theme="1"/>
      <name val="Calibri"/>
      <family val="2"/>
      <scheme val="minor"/>
    </font>
    <font>
      <sz val="28"/>
      <color theme="1"/>
      <name val="Calibri"/>
      <family val="2"/>
      <scheme val="minor"/>
    </font>
    <font>
      <sz val="28"/>
      <color theme="1"/>
      <name val="Apple Chancery"/>
      <family val="4"/>
    </font>
    <font>
      <sz val="8"/>
      <color theme="0"/>
      <name val="Apple Chancery"/>
      <family val="4"/>
    </font>
    <font>
      <sz val="18"/>
      <color theme="1"/>
      <name val="Apple Chancery"/>
      <family val="4"/>
    </font>
    <font>
      <sz val="8"/>
      <color theme="1"/>
      <name val="Calibri"/>
      <family val="2"/>
      <scheme val="minor"/>
    </font>
    <font>
      <sz val="10"/>
      <color theme="4" tint="-0.249977111117893"/>
      <name val="Apple Chancery"/>
      <family val="4"/>
    </font>
    <font>
      <sz val="16"/>
      <color rgb="FF000000"/>
      <name val="Calibri"/>
      <family val="2"/>
    </font>
  </fonts>
  <fills count="6">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
      <patternFill patternType="solid">
        <fgColor theme="4" tint="-0.249977111117893"/>
        <bgColor indexed="64"/>
      </patternFill>
    </fill>
    <fill>
      <patternFill patternType="solid">
        <fgColor theme="4" tint="0.79998168889431442"/>
        <bgColor indexed="64"/>
      </patternFill>
    </fill>
  </fills>
  <borders count="35">
    <border>
      <left/>
      <right/>
      <top/>
      <bottom/>
      <diagonal/>
    </border>
    <border>
      <left style="thick">
        <color theme="4" tint="-0.24994659260841701"/>
      </left>
      <right/>
      <top/>
      <bottom/>
      <diagonal/>
    </border>
    <border>
      <left style="thick">
        <color theme="4" tint="0.39994506668294322"/>
      </left>
      <right/>
      <top/>
      <bottom/>
      <diagonal/>
    </border>
    <border>
      <left style="thin">
        <color theme="4" tint="0.39997558519241921"/>
      </left>
      <right style="thick">
        <color theme="4" tint="0.39994506668294322"/>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style="thick">
        <color theme="4" tint="0.39994506668294322"/>
      </left>
      <right/>
      <top style="thin">
        <color theme="4" tint="0.39997558519241921"/>
      </top>
      <bottom style="thin">
        <color theme="4" tint="0.39997558519241921"/>
      </bottom>
      <diagonal/>
    </border>
    <border>
      <left style="medium">
        <color theme="4" tint="0.39994506668294322"/>
      </left>
      <right/>
      <top/>
      <bottom/>
      <diagonal/>
    </border>
    <border>
      <left style="medium">
        <color theme="4" tint="-0.24994659260841701"/>
      </left>
      <right/>
      <top/>
      <bottom/>
      <diagonal/>
    </border>
    <border>
      <left/>
      <right style="medium">
        <color theme="4" tint="-0.24994659260841701"/>
      </right>
      <top/>
      <bottom/>
      <diagonal/>
    </border>
    <border>
      <left style="medium">
        <color theme="4" tint="-0.24994659260841701"/>
      </left>
      <right/>
      <top style="medium">
        <color theme="4" tint="-0.24994659260841701"/>
      </top>
      <bottom/>
      <diagonal/>
    </border>
    <border>
      <left/>
      <right/>
      <top style="medium">
        <color theme="4" tint="-0.24994659260841701"/>
      </top>
      <bottom/>
      <diagonal/>
    </border>
    <border>
      <left/>
      <right style="medium">
        <color theme="4" tint="-0.24994659260841701"/>
      </right>
      <top style="medium">
        <color theme="4" tint="-0.24994659260841701"/>
      </top>
      <bottom/>
      <diagonal/>
    </border>
    <border>
      <left style="medium">
        <color theme="4" tint="-0.24994659260841701"/>
      </left>
      <right style="thin">
        <color theme="4" tint="0.79998168889431442"/>
      </right>
      <top/>
      <bottom style="medium">
        <color theme="4" tint="-0.24994659260841701"/>
      </bottom>
      <diagonal/>
    </border>
    <border>
      <left style="thin">
        <color theme="4" tint="0.79998168889431442"/>
      </left>
      <right style="medium">
        <color theme="4" tint="-0.24994659260841701"/>
      </right>
      <top/>
      <bottom style="medium">
        <color theme="4" tint="-0.24994659260841701"/>
      </bottom>
      <diagonal/>
    </border>
    <border>
      <left/>
      <right/>
      <top/>
      <bottom style="thin">
        <color auto="1"/>
      </bottom>
      <diagonal/>
    </border>
    <border>
      <left style="thick">
        <color theme="4" tint="-0.24994659260841701"/>
      </left>
      <right/>
      <top style="thick">
        <color theme="4" tint="-0.24994659260841701"/>
      </top>
      <bottom/>
      <diagonal/>
    </border>
    <border>
      <left/>
      <right/>
      <top style="thick">
        <color theme="4" tint="-0.24994659260841701"/>
      </top>
      <bottom/>
      <diagonal/>
    </border>
    <border>
      <left/>
      <right style="thick">
        <color theme="4" tint="-0.24994659260841701"/>
      </right>
      <top style="thick">
        <color theme="4" tint="-0.24994659260841701"/>
      </top>
      <bottom/>
      <diagonal/>
    </border>
    <border>
      <left/>
      <right style="thick">
        <color theme="4" tint="-0.24994659260841701"/>
      </right>
      <top/>
      <bottom/>
      <diagonal/>
    </border>
    <border>
      <left style="thick">
        <color theme="4" tint="-0.24994659260841701"/>
      </left>
      <right/>
      <top/>
      <bottom style="thick">
        <color theme="4" tint="-0.24994659260841701"/>
      </bottom>
      <diagonal/>
    </border>
    <border>
      <left/>
      <right/>
      <top/>
      <bottom style="thick">
        <color theme="4" tint="-0.24994659260841701"/>
      </bottom>
      <diagonal/>
    </border>
    <border>
      <left/>
      <right style="thick">
        <color theme="4" tint="-0.24994659260841701"/>
      </right>
      <top/>
      <bottom style="thick">
        <color theme="4" tint="-0.24994659260841701"/>
      </bottom>
      <diagonal/>
    </border>
    <border>
      <left style="medium">
        <color theme="4" tint="-0.24994659260841701"/>
      </left>
      <right/>
      <top/>
      <bottom style="medium">
        <color theme="4" tint="-0.24994659260841701"/>
      </bottom>
      <diagonal/>
    </border>
    <border>
      <left/>
      <right style="medium">
        <color theme="4" tint="-0.24994659260841701"/>
      </right>
      <top/>
      <bottom style="medium">
        <color theme="4" tint="-0.24994659260841701"/>
      </bottom>
      <diagonal/>
    </border>
    <border>
      <left style="thin">
        <color theme="4" tint="-0.24994659260841701"/>
      </left>
      <right/>
      <top style="thin">
        <color theme="4" tint="-0.24994659260841701"/>
      </top>
      <bottom/>
      <diagonal/>
    </border>
    <border>
      <left/>
      <right style="thin">
        <color theme="4" tint="-0.24994659260841701"/>
      </right>
      <top style="thin">
        <color theme="4" tint="-0.24994659260841701"/>
      </top>
      <bottom/>
      <diagonal/>
    </border>
    <border>
      <left style="thin">
        <color theme="4" tint="-0.24994659260841701"/>
      </left>
      <right/>
      <top/>
      <bottom style="thin">
        <color theme="4" tint="-0.24994659260841701"/>
      </bottom>
      <diagonal/>
    </border>
    <border>
      <left/>
      <right style="thin">
        <color theme="4" tint="-0.24994659260841701"/>
      </right>
      <top/>
      <bottom style="thin">
        <color theme="4" tint="-0.24994659260841701"/>
      </bottom>
      <diagonal/>
    </border>
    <border>
      <left/>
      <right/>
      <top style="thin">
        <color theme="4" tint="-0.24994659260841701"/>
      </top>
      <bottom/>
      <diagonal/>
    </border>
    <border>
      <left style="thin">
        <color theme="4" tint="-0.24994659260841701"/>
      </left>
      <right/>
      <top/>
      <bottom/>
      <diagonal/>
    </border>
    <border>
      <left/>
      <right style="thin">
        <color theme="4" tint="-0.24994659260841701"/>
      </right>
      <top/>
      <bottom/>
      <diagonal/>
    </border>
    <border>
      <left/>
      <right/>
      <top/>
      <bottom style="thin">
        <color theme="4" tint="-0.24994659260841701"/>
      </bottom>
      <diagonal/>
    </border>
    <border>
      <left/>
      <right/>
      <top style="thin">
        <color theme="4" tint="-0.24994659260841701"/>
      </top>
      <bottom style="thin">
        <color theme="4" tint="-0.24994659260841701"/>
      </bottom>
      <diagonal/>
    </border>
    <border>
      <left/>
      <right/>
      <top style="thin">
        <color auto="1"/>
      </top>
      <bottom/>
      <diagonal/>
    </border>
  </borders>
  <cellStyleXfs count="1">
    <xf numFmtId="0" fontId="0" fillId="0" borderId="0"/>
  </cellStyleXfs>
  <cellXfs count="122">
    <xf numFmtId="0" fontId="0" fillId="0" borderId="0" xfId="0"/>
    <xf numFmtId="0" fontId="1" fillId="0" borderId="0" xfId="0" applyFont="1"/>
    <xf numFmtId="0" fontId="1" fillId="0" borderId="0" xfId="0" applyFont="1" applyAlignment="1">
      <alignment horizontal="center"/>
    </xf>
    <xf numFmtId="0" fontId="1" fillId="0" borderId="1" xfId="0" applyFont="1" applyBorder="1" applyAlignment="1">
      <alignment horizontal="center"/>
    </xf>
    <xf numFmtId="0" fontId="1" fillId="0" borderId="2" xfId="0" applyFont="1" applyBorder="1" applyAlignment="1">
      <alignment horizontal="center"/>
    </xf>
    <xf numFmtId="0" fontId="0" fillId="0" borderId="4" xfId="0" applyFont="1" applyBorder="1" applyAlignment="1">
      <alignment horizontal="right"/>
    </xf>
    <xf numFmtId="0" fontId="1" fillId="3" borderId="5" xfId="0" applyFont="1" applyFill="1" applyBorder="1" applyAlignment="1">
      <alignment horizontal="center"/>
    </xf>
    <xf numFmtId="0" fontId="1" fillId="0" borderId="0" xfId="0" applyNumberFormat="1" applyFont="1" applyAlignment="1">
      <alignment horizontal="center"/>
    </xf>
    <xf numFmtId="0" fontId="0" fillId="0" borderId="0" xfId="0" applyAlignment="1">
      <alignment horizontal="center"/>
    </xf>
    <xf numFmtId="0" fontId="0" fillId="0" borderId="0" xfId="0" applyAlignment="1">
      <alignment horizontal="left"/>
    </xf>
    <xf numFmtId="1" fontId="1" fillId="0" borderId="0" xfId="0" applyNumberFormat="1" applyFont="1" applyAlignment="1">
      <alignment horizontal="center"/>
    </xf>
    <xf numFmtId="0" fontId="3" fillId="0" borderId="0" xfId="0" applyFont="1" applyAlignment="1">
      <alignment horizontal="left" vertical="center"/>
    </xf>
    <xf numFmtId="0" fontId="3" fillId="3" borderId="3" xfId="0" applyFont="1" applyFill="1" applyBorder="1"/>
    <xf numFmtId="0" fontId="3" fillId="0" borderId="3" xfId="0" applyFont="1" applyBorder="1"/>
    <xf numFmtId="0" fontId="2" fillId="2" borderId="5" xfId="0" applyFont="1" applyFill="1" applyBorder="1" applyAlignment="1">
      <alignment horizontal="left"/>
    </xf>
    <xf numFmtId="0" fontId="3" fillId="0" borderId="0" xfId="0" applyFont="1"/>
    <xf numFmtId="0" fontId="1" fillId="0" borderId="0" xfId="0" applyFont="1" applyAlignment="1">
      <alignment horizontal="right"/>
    </xf>
    <xf numFmtId="14" fontId="1" fillId="0" borderId="0" xfId="0" applyNumberFormat="1" applyFont="1"/>
    <xf numFmtId="1" fontId="1" fillId="0" borderId="0" xfId="0" applyNumberFormat="1" applyFont="1"/>
    <xf numFmtId="0" fontId="1" fillId="0" borderId="0" xfId="0" applyFont="1" applyAlignment="1">
      <alignment wrapText="1"/>
    </xf>
    <xf numFmtId="0" fontId="0" fillId="0" borderId="0" xfId="0" applyFont="1" applyAlignment="1">
      <alignment wrapText="1"/>
    </xf>
    <xf numFmtId="0" fontId="0" fillId="0" borderId="0" xfId="0" applyFont="1" applyAlignment="1">
      <alignment horizontal="left" wrapText="1"/>
    </xf>
    <xf numFmtId="0" fontId="0" fillId="0" borderId="0" xfId="0" applyFont="1" applyAlignment="1">
      <alignment horizontal="center" wrapText="1"/>
    </xf>
    <xf numFmtId="0" fontId="1" fillId="0" borderId="0" xfId="0" applyFont="1" applyAlignment="1">
      <alignment horizontal="left"/>
    </xf>
    <xf numFmtId="0" fontId="0" fillId="0" borderId="0" xfId="0" applyAlignment="1">
      <alignment horizontal="center" wrapText="1"/>
    </xf>
    <xf numFmtId="0" fontId="0" fillId="0" borderId="7" xfId="0" applyFont="1" applyBorder="1" applyAlignment="1">
      <alignment horizontal="center" wrapText="1"/>
    </xf>
    <xf numFmtId="0" fontId="1" fillId="0" borderId="7" xfId="0" applyFont="1" applyBorder="1" applyAlignment="1">
      <alignment horizontal="center"/>
    </xf>
    <xf numFmtId="0" fontId="0" fillId="0" borderId="2" xfId="0" applyFont="1" applyBorder="1" applyAlignment="1">
      <alignment horizontal="left" wrapText="1"/>
    </xf>
    <xf numFmtId="0" fontId="0" fillId="0" borderId="2" xfId="0" applyFont="1" applyBorder="1" applyAlignment="1">
      <alignment wrapText="1"/>
    </xf>
    <xf numFmtId="0" fontId="1" fillId="0" borderId="0" xfId="0" applyFont="1" applyAlignment="1"/>
    <xf numFmtId="0" fontId="0" fillId="0" borderId="0" xfId="0" applyAlignment="1">
      <alignment vertical="center"/>
    </xf>
    <xf numFmtId="0" fontId="1" fillId="0" borderId="0" xfId="0" applyFont="1" applyAlignment="1">
      <alignment vertical="center"/>
    </xf>
    <xf numFmtId="0" fontId="1" fillId="0" borderId="0" xfId="0" applyFont="1" applyAlignment="1">
      <alignment horizontal="center" vertical="center"/>
    </xf>
    <xf numFmtId="0" fontId="0" fillId="0" borderId="0" xfId="0" applyBorder="1" applyAlignment="1">
      <alignment vertical="center"/>
    </xf>
    <xf numFmtId="0" fontId="6" fillId="0" borderId="0" xfId="0" applyFont="1" applyBorder="1" applyAlignment="1">
      <alignment vertical="center"/>
    </xf>
    <xf numFmtId="0" fontId="4" fillId="0" borderId="13" xfId="0" applyFont="1" applyBorder="1" applyAlignment="1">
      <alignment vertical="top"/>
    </xf>
    <xf numFmtId="0" fontId="0" fillId="0" borderId="14" xfId="0" applyBorder="1" applyAlignment="1">
      <alignment vertical="center"/>
    </xf>
    <xf numFmtId="0" fontId="4" fillId="0" borderId="0" xfId="0" applyFont="1" applyAlignment="1">
      <alignment vertical="center"/>
    </xf>
    <xf numFmtId="0" fontId="10" fillId="0" borderId="0" xfId="0" applyFont="1" applyAlignment="1">
      <alignment vertical="center"/>
    </xf>
    <xf numFmtId="0" fontId="4" fillId="0" borderId="23" xfId="0" applyFont="1" applyBorder="1" applyAlignment="1">
      <alignment vertical="top"/>
    </xf>
    <xf numFmtId="0" fontId="0" fillId="0" borderId="24" xfId="0" applyBorder="1" applyAlignment="1">
      <alignment vertical="center"/>
    </xf>
    <xf numFmtId="0" fontId="10" fillId="0" borderId="0" xfId="0" applyFont="1" applyAlignment="1">
      <alignment horizontal="center" vertical="center"/>
    </xf>
    <xf numFmtId="0" fontId="10" fillId="0" borderId="29" xfId="0" applyFont="1" applyBorder="1" applyAlignment="1">
      <alignment vertical="center"/>
    </xf>
    <xf numFmtId="0" fontId="10" fillId="0" borderId="26" xfId="0" applyFont="1" applyBorder="1" applyAlignment="1">
      <alignment vertical="center"/>
    </xf>
    <xf numFmtId="0" fontId="10" fillId="0" borderId="0" xfId="0" applyFont="1" applyBorder="1" applyAlignment="1">
      <alignment vertical="center"/>
    </xf>
    <xf numFmtId="0" fontId="10" fillId="0" borderId="31" xfId="0" applyFont="1" applyBorder="1" applyAlignment="1">
      <alignment vertical="center"/>
    </xf>
    <xf numFmtId="0" fontId="10" fillId="0" borderId="25" xfId="0" applyFont="1" applyBorder="1" applyAlignment="1">
      <alignment horizontal="left" vertical="center"/>
    </xf>
    <xf numFmtId="0" fontId="10" fillId="0" borderId="29" xfId="0" applyFont="1" applyBorder="1" applyAlignment="1">
      <alignment horizontal="left" vertical="center"/>
    </xf>
    <xf numFmtId="0" fontId="10" fillId="0" borderId="30" xfId="0" applyFont="1" applyBorder="1" applyAlignment="1">
      <alignment horizontal="left" vertical="center"/>
    </xf>
    <xf numFmtId="0" fontId="10" fillId="0" borderId="0" xfId="0" applyFont="1" applyBorder="1" applyAlignment="1">
      <alignment horizontal="left" vertical="center"/>
    </xf>
    <xf numFmtId="0" fontId="1" fillId="0" borderId="0" xfId="0" applyFont="1" applyBorder="1"/>
    <xf numFmtId="0" fontId="1" fillId="0" borderId="0" xfId="0" applyFont="1" applyBorder="1" applyAlignment="1">
      <alignment horizontal="center"/>
    </xf>
    <xf numFmtId="0" fontId="1" fillId="0" borderId="0" xfId="0" applyNumberFormat="1" applyFont="1" applyBorder="1" applyAlignment="1">
      <alignment horizontal="center"/>
    </xf>
    <xf numFmtId="0" fontId="10" fillId="0" borderId="25" xfId="0" applyFont="1" applyBorder="1"/>
    <xf numFmtId="0" fontId="10" fillId="0" borderId="30" xfId="0" applyFont="1" applyBorder="1"/>
    <xf numFmtId="0" fontId="10" fillId="0" borderId="29" xfId="0" applyFont="1" applyBorder="1" applyAlignment="1">
      <alignment horizontal="center" vertical="center"/>
    </xf>
    <xf numFmtId="0" fontId="10" fillId="0" borderId="26" xfId="0" applyFont="1" applyBorder="1" applyAlignment="1">
      <alignment horizontal="center" vertical="center"/>
    </xf>
    <xf numFmtId="0" fontId="10" fillId="0" borderId="0" xfId="0" applyFont="1" applyBorder="1" applyAlignment="1">
      <alignment horizontal="center" vertical="center"/>
    </xf>
    <xf numFmtId="0" fontId="10" fillId="0" borderId="31" xfId="0" applyFont="1" applyBorder="1" applyAlignment="1">
      <alignment horizontal="center" vertical="center"/>
    </xf>
    <xf numFmtId="0" fontId="10" fillId="0" borderId="30" xfId="0" applyFont="1" applyBorder="1" applyAlignment="1">
      <alignment vertical="center"/>
    </xf>
    <xf numFmtId="49" fontId="10" fillId="0" borderId="0" xfId="0" applyNumberFormat="1" applyFont="1" applyBorder="1" applyAlignment="1">
      <alignment horizontal="left" vertical="center"/>
    </xf>
    <xf numFmtId="49" fontId="10" fillId="0" borderId="29" xfId="0" applyNumberFormat="1" applyFont="1" applyBorder="1" applyAlignment="1">
      <alignment horizontal="left" vertical="center"/>
    </xf>
    <xf numFmtId="49" fontId="10" fillId="0" borderId="25" xfId="0" applyNumberFormat="1" applyFont="1" applyBorder="1"/>
    <xf numFmtId="49" fontId="10" fillId="0" borderId="29" xfId="0" applyNumberFormat="1" applyFont="1" applyBorder="1" applyAlignment="1">
      <alignment horizontal="center" vertical="center"/>
    </xf>
    <xf numFmtId="49" fontId="10" fillId="0" borderId="29" xfId="0" applyNumberFormat="1" applyFont="1" applyBorder="1" applyAlignment="1">
      <alignment horizontal="center"/>
    </xf>
    <xf numFmtId="49" fontId="10" fillId="0" borderId="26" xfId="0" applyNumberFormat="1" applyFont="1" applyBorder="1" applyAlignment="1">
      <alignment horizontal="center" vertical="center"/>
    </xf>
    <xf numFmtId="49" fontId="10" fillId="0" borderId="30" xfId="0" applyNumberFormat="1" applyFont="1" applyBorder="1"/>
    <xf numFmtId="49" fontId="10" fillId="0" borderId="0" xfId="0" applyNumberFormat="1" applyFont="1" applyBorder="1" applyAlignment="1">
      <alignment horizontal="center" vertical="center"/>
    </xf>
    <xf numFmtId="49" fontId="10" fillId="0" borderId="0" xfId="0" applyNumberFormat="1" applyFont="1" applyBorder="1" applyAlignment="1">
      <alignment horizontal="center"/>
    </xf>
    <xf numFmtId="49" fontId="10" fillId="0" borderId="31" xfId="0" applyNumberFormat="1" applyFont="1" applyBorder="1" applyAlignment="1">
      <alignment horizontal="center" vertical="center"/>
    </xf>
    <xf numFmtId="49" fontId="0" fillId="0" borderId="30" xfId="0" applyNumberFormat="1" applyBorder="1" applyAlignment="1">
      <alignment vertical="center"/>
    </xf>
    <xf numFmtId="49" fontId="0" fillId="0" borderId="0" xfId="0" applyNumberFormat="1" applyBorder="1" applyAlignment="1">
      <alignment vertical="center"/>
    </xf>
    <xf numFmtId="49" fontId="0" fillId="0" borderId="31" xfId="0" applyNumberFormat="1" applyBorder="1" applyAlignment="1">
      <alignment vertical="center"/>
    </xf>
    <xf numFmtId="49" fontId="10" fillId="0" borderId="0" xfId="0" applyNumberFormat="1" applyFont="1" applyBorder="1" applyAlignment="1">
      <alignment vertical="center"/>
    </xf>
    <xf numFmtId="49" fontId="1" fillId="0" borderId="0" xfId="0" applyNumberFormat="1" applyFont="1" applyAlignment="1">
      <alignment horizontal="center"/>
    </xf>
    <xf numFmtId="0" fontId="10" fillId="0" borderId="0" xfId="0" applyNumberFormat="1" applyFont="1" applyBorder="1" applyAlignment="1">
      <alignment vertical="center"/>
    </xf>
    <xf numFmtId="0" fontId="10" fillId="0" borderId="33" xfId="0" applyFont="1" applyBorder="1" applyAlignment="1">
      <alignment vertical="center"/>
    </xf>
    <xf numFmtId="0" fontId="1" fillId="0" borderId="34" xfId="0" applyFont="1" applyBorder="1"/>
    <xf numFmtId="0" fontId="1" fillId="0" borderId="34" xfId="0" applyFont="1" applyBorder="1" applyAlignment="1">
      <alignment horizontal="center"/>
    </xf>
    <xf numFmtId="0" fontId="12" fillId="0" borderId="0" xfId="0" applyFont="1" applyAlignment="1">
      <alignment horizontal="left"/>
    </xf>
    <xf numFmtId="0" fontId="0" fillId="0" borderId="0" xfId="0" applyFont="1" applyBorder="1" applyAlignment="1">
      <alignment horizontal="center" wrapText="1"/>
    </xf>
    <xf numFmtId="0" fontId="8" fillId="4" borderId="16" xfId="0" applyFont="1" applyFill="1" applyBorder="1" applyAlignment="1">
      <alignment horizontal="center" vertical="center"/>
    </xf>
    <xf numFmtId="0" fontId="8" fillId="4" borderId="17" xfId="0" applyFont="1" applyFill="1" applyBorder="1" applyAlignment="1">
      <alignment horizontal="center" vertical="center"/>
    </xf>
    <xf numFmtId="0" fontId="8" fillId="4" borderId="18" xfId="0" applyFont="1" applyFill="1" applyBorder="1" applyAlignment="1">
      <alignment horizontal="center" vertical="center"/>
    </xf>
    <xf numFmtId="0" fontId="0" fillId="0" borderId="1" xfId="0" applyBorder="1" applyAlignment="1">
      <alignment horizontal="center" vertical="center"/>
    </xf>
    <xf numFmtId="0" fontId="0" fillId="0" borderId="0" xfId="0" applyBorder="1" applyAlignment="1">
      <alignment horizontal="center" vertical="center"/>
    </xf>
    <xf numFmtId="0" fontId="0" fillId="0" borderId="19" xfId="0" applyBorder="1" applyAlignment="1">
      <alignment horizontal="center" vertical="center"/>
    </xf>
    <xf numFmtId="0" fontId="0" fillId="0" borderId="20" xfId="0" applyBorder="1" applyAlignment="1">
      <alignment horizontal="center" vertical="center"/>
    </xf>
    <xf numFmtId="0" fontId="0" fillId="0" borderId="21" xfId="0" applyBorder="1" applyAlignment="1">
      <alignment horizontal="center" vertical="center"/>
    </xf>
    <xf numFmtId="0" fontId="0" fillId="0" borderId="22" xfId="0" applyBorder="1" applyAlignment="1">
      <alignment horizontal="center" vertical="center"/>
    </xf>
    <xf numFmtId="0" fontId="8" fillId="4" borderId="27" xfId="0" applyFont="1" applyFill="1" applyBorder="1" applyAlignment="1">
      <alignment horizontal="center" vertical="center"/>
    </xf>
    <xf numFmtId="0" fontId="8" fillId="4" borderId="32" xfId="0" applyFont="1" applyFill="1" applyBorder="1" applyAlignment="1">
      <alignment horizontal="center" vertical="center"/>
    </xf>
    <xf numFmtId="0" fontId="8" fillId="4" borderId="28" xfId="0" applyFont="1" applyFill="1" applyBorder="1" applyAlignment="1">
      <alignment horizontal="center" vertical="center"/>
    </xf>
    <xf numFmtId="0" fontId="10" fillId="0" borderId="0" xfId="0" applyFont="1" applyBorder="1" applyAlignment="1">
      <alignment horizontal="left" wrapText="1"/>
    </xf>
    <xf numFmtId="0" fontId="5" fillId="0" borderId="0" xfId="0" applyFont="1" applyBorder="1" applyAlignment="1">
      <alignment horizontal="center" vertical="center"/>
    </xf>
    <xf numFmtId="0" fontId="5" fillId="0" borderId="15" xfId="0" applyFont="1" applyBorder="1" applyAlignment="1">
      <alignment horizontal="center" vertical="center"/>
    </xf>
    <xf numFmtId="0" fontId="10" fillId="0" borderId="0" xfId="0" applyFont="1" applyAlignment="1">
      <alignment horizontal="center" vertical="center"/>
    </xf>
    <xf numFmtId="0" fontId="0" fillId="0" borderId="0" xfId="0" applyBorder="1" applyAlignment="1">
      <alignment horizontal="left" vertical="center"/>
    </xf>
    <xf numFmtId="0" fontId="0" fillId="0" borderId="15" xfId="0" applyBorder="1" applyAlignment="1">
      <alignment horizontal="left" vertical="center"/>
    </xf>
    <xf numFmtId="0" fontId="7" fillId="0" borderId="8" xfId="0" applyFont="1" applyBorder="1" applyAlignment="1">
      <alignment horizontal="center" vertical="center"/>
    </xf>
    <xf numFmtId="0" fontId="7" fillId="0" borderId="0" xfId="0" applyFont="1" applyBorder="1" applyAlignment="1">
      <alignment horizontal="center" vertical="center"/>
    </xf>
    <xf numFmtId="0" fontId="7" fillId="0" borderId="9" xfId="0" applyFont="1" applyBorder="1" applyAlignment="1">
      <alignment horizontal="center" vertical="center"/>
    </xf>
    <xf numFmtId="0" fontId="11" fillId="5" borderId="25" xfId="0" applyFont="1" applyFill="1" applyBorder="1" applyAlignment="1">
      <alignment horizontal="center" vertical="center"/>
    </xf>
    <xf numFmtId="0" fontId="11" fillId="5" borderId="26" xfId="0" applyFont="1" applyFill="1" applyBorder="1" applyAlignment="1">
      <alignment horizontal="center" vertical="center"/>
    </xf>
    <xf numFmtId="0" fontId="11" fillId="5" borderId="27" xfId="0" applyFont="1" applyFill="1" applyBorder="1" applyAlignment="1">
      <alignment horizontal="center" vertical="center"/>
    </xf>
    <xf numFmtId="0" fontId="11" fillId="5" borderId="28" xfId="0" applyFont="1" applyFill="1" applyBorder="1" applyAlignment="1">
      <alignment horizontal="center" vertical="center"/>
    </xf>
    <xf numFmtId="0" fontId="8" fillId="4" borderId="10" xfId="0" applyFont="1" applyFill="1" applyBorder="1" applyAlignment="1">
      <alignment horizontal="center" vertical="center"/>
    </xf>
    <xf numFmtId="0" fontId="8" fillId="4" borderId="11" xfId="0" applyFont="1" applyFill="1" applyBorder="1" applyAlignment="1">
      <alignment horizontal="center" vertical="center"/>
    </xf>
    <xf numFmtId="0" fontId="8" fillId="4" borderId="12" xfId="0" applyFont="1" applyFill="1" applyBorder="1" applyAlignment="1">
      <alignment horizontal="center" vertical="center"/>
    </xf>
    <xf numFmtId="0" fontId="9" fillId="0" borderId="0" xfId="0" applyFont="1" applyAlignment="1">
      <alignment horizontal="left" vertical="center"/>
    </xf>
    <xf numFmtId="0" fontId="4" fillId="0" borderId="0" xfId="0" applyFont="1" applyBorder="1" applyAlignment="1">
      <alignment horizontal="left" vertical="center"/>
    </xf>
    <xf numFmtId="0" fontId="4" fillId="0" borderId="32" xfId="0" applyFont="1" applyBorder="1" applyAlignment="1">
      <alignment horizontal="left" vertical="center"/>
    </xf>
    <xf numFmtId="0" fontId="4" fillId="0" borderId="0" xfId="0" applyFont="1" applyBorder="1" applyAlignment="1">
      <alignment horizontal="center" vertical="top"/>
    </xf>
    <xf numFmtId="0" fontId="1" fillId="0" borderId="6" xfId="0" applyFont="1" applyBorder="1" applyAlignment="1">
      <alignment horizontal="right"/>
    </xf>
    <xf numFmtId="0" fontId="1" fillId="0" borderId="4" xfId="0" applyFont="1" applyBorder="1" applyAlignment="1">
      <alignment horizontal="right"/>
    </xf>
    <xf numFmtId="0" fontId="1" fillId="3" borderId="6" xfId="0" applyFont="1" applyFill="1" applyBorder="1" applyAlignment="1">
      <alignment horizontal="right"/>
    </xf>
    <xf numFmtId="0" fontId="1" fillId="3" borderId="4" xfId="0" applyFont="1" applyFill="1" applyBorder="1" applyAlignment="1">
      <alignment horizontal="right"/>
    </xf>
    <xf numFmtId="0" fontId="3" fillId="0" borderId="0" xfId="0" applyFont="1" applyAlignment="1">
      <alignment horizontal="left" vertical="center"/>
    </xf>
    <xf numFmtId="0" fontId="1" fillId="0" borderId="0" xfId="0" applyFont="1" applyAlignment="1">
      <alignment horizontal="center"/>
    </xf>
    <xf numFmtId="0" fontId="0" fillId="0" borderId="0" xfId="0" applyAlignment="1">
      <alignment wrapText="1"/>
    </xf>
    <xf numFmtId="0" fontId="0" fillId="0" borderId="0" xfId="0" applyAlignment="1">
      <alignment vertical="top"/>
    </xf>
    <xf numFmtId="0" fontId="0" fillId="0" borderId="0" xfId="0" applyAlignment="1">
      <alignment horizontal="center" vertical="top"/>
    </xf>
  </cellXfs>
  <cellStyles count="1">
    <cellStyle name="Normal" xfId="0" builtinId="0"/>
  </cellStyles>
  <dxfs count="282">
    <dxf>
      <alignment horizontal="center" vertical="bottom" textRotation="0" wrapText="0" indent="0" justifyLastLine="0" shrinkToFit="0" readingOrder="0"/>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alignment horizontal="center" vertical="top" textRotation="0" wrapText="0" indent="0" justifyLastLine="0" shrinkToFit="0" readingOrder="0"/>
    </dxf>
    <dxf>
      <alignment horizontal="general" vertical="bottom" textRotation="0" wrapText="1"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left"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left"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dxf>
    <dxf>
      <font>
        <strike val="0"/>
        <outline val="0"/>
        <shadow val="0"/>
        <u val="none"/>
        <vertAlign val="baseline"/>
        <sz val="16"/>
        <color theme="1"/>
        <name val="Calibri"/>
        <family val="2"/>
        <scheme val="minor"/>
      </font>
    </dxf>
    <dxf>
      <font>
        <strike val="0"/>
        <outline val="0"/>
        <shadow val="0"/>
        <u val="none"/>
        <vertAlign val="baseline"/>
        <sz val="16"/>
        <color theme="1"/>
        <name val="Calibri"/>
        <family val="2"/>
        <scheme val="minor"/>
      </font>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dxf>
    <dxf>
      <font>
        <strike val="0"/>
        <outline val="0"/>
        <shadow val="0"/>
        <u val="none"/>
        <vertAlign val="baseline"/>
        <sz val="16"/>
        <color theme="1"/>
        <name val="Calibri"/>
        <family val="2"/>
        <scheme val="minor"/>
      </font>
    </dxf>
    <dxf>
      <font>
        <strike val="0"/>
        <outline val="0"/>
        <shadow val="0"/>
        <u val="none"/>
        <vertAlign val="baseline"/>
        <sz val="16"/>
        <color theme="1"/>
        <name val="Calibri"/>
        <family val="2"/>
        <scheme val="minor"/>
      </font>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rgb="FF000000"/>
        <name val="Calibri"/>
        <family val="2"/>
        <scheme val="none"/>
      </font>
      <alignment horizontal="left"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border diagonalUp="0" diagonalDown="0" outline="0">
        <left style="medium">
          <color theme="4" tint="0.39994506668294322"/>
        </left>
        <right/>
        <top/>
        <bottom/>
      </border>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border diagonalUp="0" diagonalDown="0">
        <left style="medium">
          <color theme="4" tint="0.39994506668294322"/>
        </left>
        <right/>
        <top/>
        <bottom/>
        <vertical/>
        <horizontal/>
      </border>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border diagonalUp="0" diagonalDown="0" outline="0">
        <left style="thick">
          <color theme="4" tint="0.39994506668294322"/>
        </left>
        <right/>
        <top/>
        <bottom/>
      </border>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border diagonalUp="0" diagonalDown="0">
        <left style="thick">
          <color theme="4" tint="0.39994506668294322"/>
        </left>
        <right/>
        <top/>
        <bottom/>
        <vertical/>
        <horizontal/>
      </border>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border diagonalUp="0" diagonalDown="0" outline="0">
        <left style="thick">
          <color theme="4" tint="0.39994506668294322"/>
        </left>
        <right/>
        <top/>
        <bottom/>
      </border>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border diagonalUp="0" diagonalDown="0">
        <left style="thick">
          <color theme="4" tint="0.39994506668294322"/>
        </left>
        <right/>
        <top/>
        <bottom/>
        <vertical/>
        <horizontal/>
      </border>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dxf>
    <dxf>
      <font>
        <b val="0"/>
        <i val="0"/>
        <strike val="0"/>
        <condense val="0"/>
        <extend val="0"/>
        <outline val="0"/>
        <shadow val="0"/>
        <u val="none"/>
        <vertAlign val="baseline"/>
        <sz val="16"/>
        <color theme="1"/>
        <name val="Calibri"/>
        <family val="2"/>
        <scheme val="minor"/>
      </font>
    </dxf>
    <dxf>
      <font>
        <b val="0"/>
        <i val="0"/>
        <strike val="0"/>
        <condense val="0"/>
        <extend val="0"/>
        <outline val="0"/>
        <shadow val="0"/>
        <u val="none"/>
        <vertAlign val="baseline"/>
        <sz val="16"/>
        <color rgb="FF000000"/>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border diagonalUp="0" diagonalDown="0" outline="0">
        <left style="medium">
          <color theme="4" tint="0.39994506668294322"/>
        </left>
        <right/>
        <top/>
        <bottom/>
      </border>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border diagonalUp="0" diagonalDown="0">
        <left style="medium">
          <color theme="4" tint="0.39994506668294322"/>
        </left>
        <right/>
        <top/>
        <bottom/>
        <vertical/>
        <horizontal/>
      </border>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dxf>
    <dxf>
      <font>
        <b val="0"/>
        <i val="0"/>
        <strike val="0"/>
        <condense val="0"/>
        <extend val="0"/>
        <outline val="0"/>
        <shadow val="0"/>
        <u val="none"/>
        <vertAlign val="baseline"/>
        <sz val="16"/>
        <color theme="1"/>
        <name val="Calibri"/>
        <family val="2"/>
        <scheme val="minor"/>
      </font>
    </dxf>
    <dxf>
      <font>
        <b val="0"/>
        <i val="0"/>
        <strike val="0"/>
        <condense val="0"/>
        <extend val="0"/>
        <outline val="0"/>
        <shadow val="0"/>
        <u val="none"/>
        <vertAlign val="baseline"/>
        <sz val="16"/>
        <color theme="1"/>
        <name val="Calibri"/>
        <family val="2"/>
        <scheme val="minor"/>
      </font>
    </dxf>
    <dxf>
      <font>
        <b val="0"/>
        <i val="0"/>
        <strike val="0"/>
        <condense val="0"/>
        <extend val="0"/>
        <outline val="0"/>
        <shadow val="0"/>
        <u val="none"/>
        <vertAlign val="baseline"/>
        <sz val="16"/>
        <color theme="1"/>
        <name val="Calibri"/>
        <family val="2"/>
        <scheme val="minor"/>
      </font>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center" vertical="bottom" textRotation="0" wrapText="1"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dxf>
    <dxf>
      <font>
        <strike val="0"/>
        <outline val="0"/>
        <shadow val="0"/>
        <u val="none"/>
        <vertAlign val="baseline"/>
        <sz val="16"/>
        <color theme="1"/>
        <name val="Calibri"/>
        <family val="2"/>
        <scheme val="minor"/>
      </font>
    </dxf>
    <dxf>
      <font>
        <strike val="0"/>
        <outline val="0"/>
        <shadow val="0"/>
        <u val="none"/>
        <vertAlign val="baseline"/>
        <sz val="16"/>
        <color theme="1"/>
        <name val="Calibri"/>
        <family val="2"/>
        <scheme val="minor"/>
      </font>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numFmt numFmtId="0" formatCode="General"/>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numFmt numFmtId="0" formatCode="General"/>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border diagonalUp="0" diagonalDown="0" outline="0">
        <left style="thick">
          <color theme="4" tint="0.39994506668294322"/>
        </left>
        <right/>
        <top/>
        <bottom/>
      </border>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border diagonalUp="0" diagonalDown="0">
        <left style="thick">
          <color theme="4" tint="0.39994506668294322"/>
        </left>
        <right/>
        <top/>
        <bottom/>
        <vertical/>
        <horizontal/>
      </border>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dxf>
    <dxf>
      <font>
        <b val="0"/>
        <i val="0"/>
        <strike val="0"/>
        <condense val="0"/>
        <extend val="0"/>
        <outline val="0"/>
        <shadow val="0"/>
        <u val="none"/>
        <vertAlign val="baseline"/>
        <sz val="16"/>
        <color theme="1"/>
        <name val="Calibri"/>
        <family val="2"/>
        <scheme val="minor"/>
      </font>
    </dxf>
    <dxf>
      <font>
        <b val="0"/>
        <i val="0"/>
        <strike val="0"/>
        <condense val="0"/>
        <extend val="0"/>
        <outline val="0"/>
        <shadow val="0"/>
        <u val="none"/>
        <vertAlign val="baseline"/>
        <sz val="16"/>
        <color rgb="FF000000"/>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numFmt numFmtId="0" formatCode="General"/>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numFmt numFmtId="0" formatCode="General"/>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border diagonalUp="0" diagonalDown="0" outline="0">
        <left style="thick">
          <color theme="4" tint="0.39994506668294322"/>
        </left>
        <right/>
        <top/>
        <bottom/>
      </border>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border diagonalUp="0" diagonalDown="0">
        <left style="thick">
          <color theme="4" tint="0.39994506668294322"/>
        </left>
        <right/>
        <top/>
        <bottom/>
        <vertical/>
        <horizontal/>
      </border>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dxf>
    <dxf>
      <font>
        <b val="0"/>
        <i val="0"/>
        <strike val="0"/>
        <condense val="0"/>
        <extend val="0"/>
        <outline val="0"/>
        <shadow val="0"/>
        <u val="none"/>
        <vertAlign val="baseline"/>
        <sz val="16"/>
        <color theme="1"/>
        <name val="Calibri"/>
        <family val="2"/>
        <scheme val="minor"/>
      </font>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numFmt numFmtId="0" formatCode="General"/>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border diagonalUp="0" diagonalDown="0" outline="0">
        <left style="thick">
          <color theme="4" tint="-0.24994659260841701"/>
        </left>
        <right/>
        <top/>
        <bottom/>
      </border>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border diagonalUp="0" diagonalDown="0">
        <left style="thick">
          <color theme="4" tint="-0.24994659260841701"/>
        </left>
        <right/>
        <top/>
        <bottom/>
        <vertical/>
        <horizontal/>
      </border>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dxf>
    <dxf>
      <font>
        <b val="0"/>
        <i val="0"/>
        <strike val="0"/>
        <condense val="0"/>
        <extend val="0"/>
        <outline val="0"/>
        <shadow val="0"/>
        <u val="none"/>
        <vertAlign val="baseline"/>
        <sz val="16"/>
        <color theme="1"/>
        <name val="Calibri"/>
        <family val="2"/>
        <scheme val="minor"/>
      </font>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dxf>
    <dxf>
      <font>
        <b val="0"/>
        <i val="0"/>
        <strike val="0"/>
        <condense val="0"/>
        <extend val="0"/>
        <outline val="0"/>
        <shadow val="0"/>
        <u val="none"/>
        <vertAlign val="baseline"/>
        <sz val="16"/>
        <color theme="1"/>
        <name val="Calibri"/>
        <family val="2"/>
        <scheme val="minor"/>
      </font>
    </dxf>
    <dxf>
      <font>
        <b val="0"/>
        <i val="0"/>
        <strike val="0"/>
        <condense val="0"/>
        <extend val="0"/>
        <outline val="0"/>
        <shadow val="0"/>
        <u val="none"/>
        <vertAlign val="baseline"/>
        <sz val="16"/>
        <color theme="1"/>
        <name val="Calibri"/>
        <family val="2"/>
        <scheme val="minor"/>
      </font>
      <numFmt numFmtId="1" formatCode="0"/>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numFmt numFmtId="1" formatCode="0"/>
    </dxf>
    <dxf>
      <font>
        <b val="0"/>
        <i val="0"/>
        <strike val="0"/>
        <condense val="0"/>
        <extend val="0"/>
        <outline val="0"/>
        <shadow val="0"/>
        <u val="none"/>
        <vertAlign val="baseline"/>
        <sz val="16"/>
        <color theme="1"/>
        <name val="Calibri"/>
        <family val="2"/>
        <scheme val="minor"/>
      </font>
    </dxf>
    <dxf>
      <font>
        <b val="0"/>
        <i val="0"/>
        <strike val="0"/>
        <condense val="0"/>
        <extend val="0"/>
        <outline val="0"/>
        <shadow val="0"/>
        <u val="none"/>
        <vertAlign val="baseline"/>
        <sz val="16"/>
        <color theme="1"/>
        <name val="Calibri"/>
        <family val="2"/>
        <scheme val="minor"/>
      </font>
      <numFmt numFmtId="19" formatCode="dd/mm/yyyy"/>
    </dxf>
    <dxf>
      <font>
        <b val="0"/>
        <i val="0"/>
        <strike val="0"/>
        <condense val="0"/>
        <extend val="0"/>
        <outline val="0"/>
        <shadow val="0"/>
        <u val="none"/>
        <vertAlign val="baseline"/>
        <sz val="16"/>
        <color theme="1"/>
        <name val="Calibri"/>
        <family val="2"/>
        <scheme val="minor"/>
      </font>
    </dxf>
    <dxf>
      <font>
        <b val="0"/>
        <i val="0"/>
        <strike val="0"/>
        <condense val="0"/>
        <extend val="0"/>
        <outline val="0"/>
        <shadow val="0"/>
        <u val="none"/>
        <vertAlign val="baseline"/>
        <sz val="16"/>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145CBDC0-3D41-0042-9A92-BFAA003FF86C}" name="Table11" displayName="Table11" ref="Q2:S43" totalsRowCount="1" headerRowDxfId="281" dataDxfId="280">
  <autoFilter ref="Q2:S42" xr:uid="{F3ABECE7-6469-3F43-890B-0963AC8035B5}"/>
  <tableColumns count="3">
    <tableColumn id="1" xr3:uid="{65401DCF-9801-AA4F-9D7C-14A36966F4BA}" name="Date" totalsRowLabel="Total" dataDxfId="279" totalsRowDxfId="278"/>
    <tableColumn id="2" xr3:uid="{D703D096-B658-604D-BDCC-2B29BF766859}" name="XP" totalsRowFunction="sum" dataDxfId="277" totalsRowDxfId="276"/>
    <tableColumn id="3" xr3:uid="{BE38B662-73B8-B246-A576-1733D777406D}" name="Description" dataDxfId="275" totalsRowDxfId="274"/>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172D7A85-ACEB-9F45-BDE6-0764A63BAFE0}" name="Table7" displayName="Table7" ref="A1:R58" totalsRowShown="0" headerRowDxfId="59" dataDxfId="58">
  <autoFilter ref="A1:R58" xr:uid="{BA70A05F-D1C9-EC47-8CA4-A9B304C93060}"/>
  <tableColumns count="18">
    <tableColumn id="1" xr3:uid="{98665492-075C-D44B-8EDA-A52F37F4C96E}" name="Name" dataDxfId="57"/>
    <tableColumn id="2" xr3:uid="{73639F93-F9BF-204E-AEC8-CAA30EB8D6B5}" name="STR" dataDxfId="56"/>
    <tableColumn id="3" xr3:uid="{6B9E0521-C50E-264F-9593-C1F9E4D23715}" name="AGI" dataDxfId="55"/>
    <tableColumn id="4" xr3:uid="{44939BD3-1FFC-3E45-994F-37661A933E0C}" name="INU" dataDxfId="54"/>
    <tableColumn id="18" xr3:uid="{556D51F8-4C69-4644-B0FC-A64BD79C53F2}" name="CHA" dataDxfId="53"/>
    <tableColumn id="5" xr3:uid="{5BFA8BB0-66CB-0546-8525-FCA528C6BD63}" name="PER" dataDxfId="52"/>
    <tableColumn id="6" xr3:uid="{3512D05D-3A98-B245-A95E-F240DF5C3211}" name="HP Factor" dataDxfId="51"/>
    <tableColumn id="7" xr3:uid="{D0765DA9-8712-204F-B9A9-1B49046E2AAD}" name="XP" dataDxfId="50"/>
    <tableColumn id="8" xr3:uid="{597A7743-384F-C14E-BB6E-C23E1C6CE1CA}" name="Column2" dataDxfId="49"/>
    <tableColumn id="9" xr3:uid="{60EC4EF6-1D62-7949-816C-66C151F7BFBA}" name="Column3" dataDxfId="48"/>
    <tableColumn id="10" xr3:uid="{F0B18199-5A5B-414E-8450-522D2887E3DD}" name="Column4" dataDxfId="47"/>
    <tableColumn id="11" xr3:uid="{5A39FD33-B251-5041-8B88-5B33BFD6B2FC}" name="Column5" dataDxfId="46"/>
    <tableColumn id="12" xr3:uid="{CF21C245-91A7-BB49-9363-D365711ABDF3}" name="Column6" dataDxfId="45"/>
    <tableColumn id="13" xr3:uid="{B44C18CE-6E00-724D-B4CD-609ADE475EB9}" name="Column7" dataDxfId="44"/>
    <tableColumn id="14" xr3:uid="{901CE9F9-D8E2-2E46-9384-039CDF6A0ABF}" name="Column8" dataDxfId="43"/>
    <tableColumn id="15" xr3:uid="{964E2ED5-56C5-014E-BF41-7C68744CD8FA}" name="Column9" dataDxfId="42"/>
    <tableColumn id="16" xr3:uid="{BDC3BBC8-C722-A94E-89BC-53601B603859}" name="Column10" dataDxfId="41"/>
    <tableColumn id="17" xr3:uid="{6085284D-3498-D640-B82F-39D5127439B9}" name="Column11" dataDxfId="40"/>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8200D4B-54DE-294C-A2EC-E7A9132DE4A6}" name="Table6" displayName="Table6" ref="A1:C15" totalsRowShown="0" headerRowDxfId="39">
  <autoFilter ref="A1:C15" xr:uid="{155EBD5E-3DA9-7C4C-98B7-91D73ABBCBEA}"/>
  <tableColumns count="3">
    <tableColumn id="1" xr3:uid="{AE3CEFB8-A81B-1945-B935-54D9C303AE90}" name="XP" dataDxfId="38"/>
    <tableColumn id="2" xr3:uid="{BC117F6B-7A72-794E-A7A9-35C1983CB4DB}" name="Level" dataDxfId="37"/>
    <tableColumn id="3" xr3:uid="{B8412833-42B8-AC4F-8B3F-0E354215D314}" name="Expertise" dataDxfId="36"/>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26ECF4A8-7727-1C46-A7B9-8B557DBD00C1}" name="Table10" displayName="Table10" ref="E1:G14" totalsRowShown="0" headerRowDxfId="35" dataDxfId="34">
  <autoFilter ref="E1:G14" xr:uid="{5644FF1C-D713-604E-8E6F-FA601D66BB9F}"/>
  <tableColumns count="3">
    <tableColumn id="1" xr3:uid="{3666EECD-8766-9142-ADF8-3E0E7512115A}" name="Rank" dataDxfId="33"/>
    <tableColumn id="2" xr3:uid="{73A0B26C-75CB-ED4F-882C-B1AFE5834235}" name="XP" dataDxfId="32">
      <calculatedColumnFormula>F1+G1</calculatedColumnFormula>
    </tableColumn>
    <tableColumn id="3" xr3:uid="{51D4A3E4-3DB9-124B-945D-53E6771F1494}" name="XP_ADD" dataDxfId="31"/>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4895560C-F7FE-264B-9757-BE94C044D54A}" name="Table13" displayName="Table13" ref="I1:L10" totalsRowShown="0" headerRowDxfId="30">
  <autoFilter ref="I1:L10" xr:uid="{8133F681-167D-F049-9826-3312B39E818C}"/>
  <tableColumns count="4">
    <tableColumn id="1" xr3:uid="{48A52C97-1904-CD46-80EA-064E09AAF69B}" name="Type"/>
    <tableColumn id="2" xr3:uid="{38C00C01-3C20-6D47-A5EB-F3A7BEAEC051}" name="Armor" dataDxfId="29"/>
    <tableColumn id="3" xr3:uid="{EE898554-2F74-C149-B88C-AF12B4508BF3}" name="INI" dataDxfId="28"/>
    <tableColumn id="4" xr3:uid="{F349EE49-F581-BB4C-8F32-35834A1E04BF}" name="Movement" dataDxfId="27"/>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B7E950BC-4606-8A49-8B91-DEC3B6A9BAA8}" name="Table1315" displayName="Table1315" ref="O1:S10" totalsRowShown="0" headerRowDxfId="26">
  <autoFilter ref="O1:S10" xr:uid="{2A1B3E48-F34C-174D-8FBD-7A506A55BF41}"/>
  <tableColumns count="5">
    <tableColumn id="1" xr3:uid="{94233833-88FD-1A4A-B618-9CFA4BB779D8}" name="Type"/>
    <tableColumn id="2" xr3:uid="{65FF8683-7DAD-9541-BA3F-72C23BBAA524}" name="Armor" dataDxfId="25"/>
    <tableColumn id="4" xr3:uid="{0071B3F4-3F31-4840-9341-10D8AB7C1EFB}" name="INI" dataDxfId="24"/>
    <tableColumn id="5" xr3:uid="{0770FF4B-C599-B144-8E09-19F1C8E836A2}" name="Movement" dataDxfId="23"/>
    <tableColumn id="6" xr3:uid="{E5FDFDB6-BBF2-DC42-8D85-B230C4C6AECD}" name="Dodge" dataDxfId="2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7A7907B-AE9B-314A-992E-E0A4617DC74E}" name="Table1" displayName="Table1" ref="A1:O7" totalsRowCount="1" headerRowDxfId="273" dataDxfId="272">
  <autoFilter ref="A1:O6" xr:uid="{60B8AEF8-2C69-5B48-9C1A-DCFAB2AD983D}">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autoFilter>
  <tableColumns count="15">
    <tableColumn id="1" xr3:uid="{1782BAF0-6CF8-464E-925A-9A2A96505774}" name="Name" totalsRowLabel="Total XP" dataDxfId="271" totalsRowDxfId="270"/>
    <tableColumn id="2" xr3:uid="{9BCB48E4-DBE3-5942-8D75-286CC1057954}" name="Code" totalsRowFunction="custom" dataDxfId="269" totalsRowDxfId="268">
      <totalsRowFormula>SUM(Table1[[#Totals],[Bought]:[Expert]])</totalsRowFormula>
    </tableColumn>
    <tableColumn id="3" xr3:uid="{CA9C36A3-6157-BA4C-AA92-67A100D27609}" name="Bought" totalsRowFunction="custom" dataDxfId="267" totalsRowDxfId="266">
      <totalsRowFormula>COUNTIF(Table1[Bought], "Yes") * 2</totalsRowFormula>
    </tableColumn>
    <tableColumn id="4" xr3:uid="{CA0D2A17-FBA4-5E4F-B125-4C070D8788C4}" name="Skilled" totalsRowFunction="custom" dataDxfId="265" totalsRowDxfId="264">
      <totalsRowFormula>COUNTIF(Table1[Skilled], "Yes") * 3</totalsRowFormula>
    </tableColumn>
    <tableColumn id="5" xr3:uid="{A7566064-06E8-8E44-98CD-C54733321306}" name="Expert" totalsRowFunction="custom" dataDxfId="263" totalsRowDxfId="262">
      <totalsRowFormula>COUNTIF(Table1[Expert], "Yes") * 3</totalsRowFormula>
    </tableColumn>
    <tableColumn id="7" xr3:uid="{2FBFFF7E-FF36-3B4A-B953-C82904D36913}" name="DICE" dataDxfId="261" totalsRowDxfId="260"/>
    <tableColumn id="8" xr3:uid="{C8BCD9D1-3FE9-3647-A609-5788CD8AB7AD}" name="START" dataDxfId="259" totalsRowDxfId="258"/>
    <tableColumn id="14" xr3:uid="{6C3C1930-198A-CA42-8563-974CFD7E82BB}" name="RACE" dataDxfId="257" totalsRowDxfId="256"/>
    <tableColumn id="9" xr3:uid="{22F7BDEA-1AD8-5343-8765-89D3F14F6903}" name="PROF" dataDxfId="255" totalsRowDxfId="254">
      <calculatedColumnFormula>VLOOKUP(PROF,Table7[],Table7[[#Headers],[STR]],FALSE)</calculatedColumnFormula>
    </tableColumn>
    <tableColumn id="10" xr3:uid="{2075AAEA-B6EA-0E43-A822-11D62BB1BE24}" name="EQ." dataDxfId="253" totalsRowDxfId="252"/>
    <tableColumn id="6" xr3:uid="{0AD5C3C3-BBF8-D24A-B215-5FCDD41C3025}" name="Weapons" dataDxfId="251" totalsRowDxfId="250"/>
    <tableColumn id="11" xr3:uid="{97BDD625-37C1-2848-8E6B-2AB44DBA88F9}" name="BONUS" dataDxfId="249" totalsRowDxfId="248"/>
    <tableColumn id="12" xr3:uid="{5E1E8E4D-E523-3C4D-9FE9-AB8CFD8BE3A1}" name="TOTAL" dataDxfId="247" totalsRowDxfId="246">
      <calculatedColumnFormula>SUM(Table1[[#This Row],[START]:[BONUS]])</calculatedColumnFormula>
    </tableColumn>
    <tableColumn id="13" xr3:uid="{B331F653-0EE6-C649-97EB-5E84A49DCF84}" name="STAT" dataDxfId="245" totalsRowDxfId="244">
      <calculatedColumnFormula>ROUNDUP(Table1[[#This Row],[TOTAL]]/10, 0)</calculatedColumnFormula>
    </tableColumn>
    <tableColumn id="15" xr3:uid="{E9A47421-916C-7F48-A22E-F14FB2F5F313}" name="Roll" dataDxfId="243" totalsRowDxfId="242">
      <calculatedColumnFormula>Table1[[#This Row],[DICE]] &amp; " " &amp; CHAR(43) &amp; " " &amp; IF(Table1[[#This Row],[Skilled]] = "Yes",LVL,0) + IF(Table1[[#This Row],[Expert]]="Yes",EXPERTISE,0)</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5EE0547-B330-BF4F-8608-1382B945C7E0}" name="Table2" displayName="Table2" ref="A1:K35" totalsRowCount="1" headerRowDxfId="241" dataDxfId="240">
  <tableColumns count="11">
    <tableColumn id="1" xr3:uid="{488891F9-A380-104B-B93D-C02458C8FA29}" name="Name" totalsRowLabel="Total" dataDxfId="239" totalsRowDxfId="238"/>
    <tableColumn id="2" xr3:uid="{93A5AD0F-341D-E245-AF40-3EAD21FC48A0}" name="Statistic" totalsRowFunction="custom" dataDxfId="237" totalsRowDxfId="236">
      <totalsRowFormula>SUM(Table2[[#Totals],[Bought]:[Expert]])</totalsRowFormula>
    </tableColumn>
    <tableColumn id="3" xr3:uid="{FE35E503-2EA7-A343-99C7-C5C5899FC054}" name="Bought" totalsRowFunction="custom" dataDxfId="235" totalsRowDxfId="234">
      <totalsRowFormula>COUNTIF(Table2[Bought],"Yes") * 2</totalsRowFormula>
    </tableColumn>
    <tableColumn id="4" xr3:uid="{98DF01DF-054B-914B-974E-8AF998FF4E53}" name="Skilled" totalsRowFunction="custom" dataDxfId="233" totalsRowDxfId="232">
      <totalsRowFormula>COUNTIF(Table2[Skilled],"Yes") * 3</totalsRowFormula>
    </tableColumn>
    <tableColumn id="5" xr3:uid="{C62BCE48-B5FF-6A47-AA15-86C6BDEC45D6}" name="Professional" totalsRowFunction="custom" dataDxfId="231" totalsRowDxfId="230">
      <totalsRowFormula>COUNTIF(Table2[Professional],"Yes") * 4</totalsRowFormula>
    </tableColumn>
    <tableColumn id="6" xr3:uid="{D9F29455-4DAB-6A40-8A17-0CA575126A74}" name="Expert" totalsRowFunction="custom" dataDxfId="229" totalsRowDxfId="228">
      <totalsRowFormula>COUNTIF(Table2[Skilled],"Yes") * 5</totalsRowFormula>
    </tableColumn>
    <tableColumn id="8" xr3:uid="{D32EF9E9-A539-8B41-871A-B89EA355F651}" name="DICE" dataDxfId="227" totalsRowDxfId="226">
      <calculatedColumnFormula>IF(C2="Yes","1d20","1d10")</calculatedColumnFormula>
    </tableColumn>
    <tableColumn id="9" xr3:uid="{C1A4C07D-E510-A944-A562-B1C910EB2898}" name="STAT" dataDxfId="225" totalsRowDxfId="224">
      <calculatedColumnFormula>IF(Table2[[#This Row],[Skilled]] = "YES",VLOOKUP(Table2[[#This Row],[Statistic]],Table1[[Code]:[STAT]],13,FALSE), 0)</calculatedColumnFormula>
    </tableColumn>
    <tableColumn id="10" xr3:uid="{0B24A7B2-5A09-214A-A140-1714C5D361A4}" name="LEVEL" dataDxfId="223" totalsRowDxfId="222">
      <calculatedColumnFormula>IF(Table2[[#This Row],[Professional]]="Yes",LVL,0)</calculatedColumnFormula>
    </tableColumn>
    <tableColumn id="11" xr3:uid="{356CD671-6933-4E45-8BBD-9402E92B4106}" name="EXP." dataDxfId="221" totalsRowDxfId="220"/>
    <tableColumn id="12" xr3:uid="{28D63D3F-7CDE-BD4A-8D01-F7FC776D2F9A}" name="TOTAL" dataDxfId="219" totalsRowDxfId="218">
      <calculatedColumnFormula>Table2[[#This Row],[DICE]] &amp; " " &amp; CHAR(43) &amp; " " &amp; SUM(H2:J2)</calculatedColumn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3AD258F9-46CB-0748-BE8B-849C3A884EB8}" name="Table217" displayName="Table217" ref="A1:K17" totalsRowCount="1" headerRowDxfId="217" dataDxfId="216">
  <tableColumns count="11">
    <tableColumn id="1" xr3:uid="{87BB9924-DBC9-8B4C-98A3-1C64069A7F16}" name="Name" totalsRowLabel="Total" dataDxfId="215" totalsRowDxfId="214"/>
    <tableColumn id="2" xr3:uid="{C7B0EDCD-3736-3443-8494-C77B335F22CF}" name="Statistic" totalsRowFunction="custom" dataDxfId="213" totalsRowDxfId="212">
      <totalsRowFormula>SUM(Table217[[#Totals],[Bought]:[Expert]])</totalsRowFormula>
    </tableColumn>
    <tableColumn id="3" xr3:uid="{DB3431C6-D27C-1F4F-A527-26C5173FD0AF}" name="Bought" totalsRowFunction="custom" dataDxfId="211" totalsRowDxfId="210">
      <totalsRowFormula>COUNTIF(Table217[Bought],"Yes") * 2</totalsRowFormula>
    </tableColumn>
    <tableColumn id="4" xr3:uid="{16801E44-9587-1F43-A05D-A6A621B7D92E}" name="Skilled" totalsRowFunction="custom" dataDxfId="209" totalsRowDxfId="208">
      <totalsRowFormula>COUNTIF(Table217[Skilled],"Yes") * 3</totalsRowFormula>
    </tableColumn>
    <tableColumn id="5" xr3:uid="{831CD727-7203-A442-90B2-7454C8FF3483}" name="Professional" totalsRowFunction="custom" dataDxfId="207" totalsRowDxfId="206">
      <totalsRowFormula>COUNTIF(Table217[Professional],"Yes") * 4</totalsRowFormula>
    </tableColumn>
    <tableColumn id="6" xr3:uid="{29019F01-4B37-FD41-BF61-39E9F80E0220}" name="Expert" totalsRowFunction="custom" dataDxfId="205" totalsRowDxfId="204">
      <totalsRowFormula>COUNTIF(Table217[Skilled],"Yes") * 5</totalsRowFormula>
    </tableColumn>
    <tableColumn id="8" xr3:uid="{9DA99A80-D4A2-7245-9FF6-F208EE342709}" name="DICE" dataDxfId="203" totalsRowDxfId="202">
      <calculatedColumnFormula>IF(C2="Yes","1d20","1d10")</calculatedColumnFormula>
    </tableColumn>
    <tableColumn id="9" xr3:uid="{C3CB34DA-A904-9C4B-8C33-222761B6D7D2}" name="STAT" dataDxfId="201" totalsRowDxfId="200">
      <calculatedColumnFormula>IF(Table217[[#This Row],[Skilled]] = "YES",VLOOKUP(Table217[[#This Row],[Statistic]],Table1[[Code]:[STAT]],13,FALSE), 0)</calculatedColumnFormula>
    </tableColumn>
    <tableColumn id="10" xr3:uid="{AA0D7124-EB80-8D45-8B3A-B710D5C942D2}" name="LEVEL" dataDxfId="199" totalsRowDxfId="198">
      <calculatedColumnFormula>IF(Table217[[#This Row],[Professional]]="Yes",LVL,0)</calculatedColumnFormula>
    </tableColumn>
    <tableColumn id="11" xr3:uid="{6DA8214E-CFCE-1F48-9C1E-1466DBBCA419}" name="EXP." dataDxfId="197" totalsRowDxfId="196"/>
    <tableColumn id="12" xr3:uid="{44A80818-EE79-AD41-B43E-D9EA1EB5457F}" name="TOTAL" dataDxfId="195" totalsRowDxfId="194">
      <calculatedColumnFormula>Table217[[#This Row],[DICE]] &amp; " " &amp; CHAR(43) &amp; " " &amp; SUM(H2:J2)</calculatedColumnFormula>
    </tableColumn>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9BF8CF78-37C6-3445-BBF5-327B62B15019}" name="Table9" displayName="Table9" ref="A1:L19" totalsRowShown="0" headerRowDxfId="193" dataDxfId="192">
  <tableColumns count="12">
    <tableColumn id="1" xr3:uid="{AAE218F1-975D-6E4D-A78F-7D9CFE3F2D85}" name="Name" dataDxfId="191"/>
    <tableColumn id="2" xr3:uid="{D6530EC6-244B-1342-B158-F1BF3AB28116}" name="Rank" dataDxfId="190"/>
    <tableColumn id="3" xr3:uid="{06E3316B-0582-394A-BC3E-83FCA17E3605}" name="Weapon" dataDxfId="189"/>
    <tableColumn id="12" xr3:uid="{DFE40438-CA22-3D44-8C0F-517F5D131F5B}" name="Equip." dataDxfId="188"/>
    <tableColumn id="4" xr3:uid="{D4781ED7-4593-8541-BEFE-6294607C35A6}" name="Special" dataDxfId="187"/>
    <tableColumn id="10" xr3:uid="{F3DF0F91-E598-724D-9337-DE5DFBDAB49E}" name="TotalRank" dataDxfId="186">
      <calculatedColumnFormula>SUM(Table9[[#This Row],[Rank]:[Special]])</calculatedColumnFormula>
    </tableColumn>
    <tableColumn id="5" xr3:uid="{0D510646-E339-4D49-AC64-0E9893C8F3DB}" name="Factor" dataDxfId="185"/>
    <tableColumn id="6" xr3:uid="{7B2CF3F3-396A-4840-8DAE-8804AB543E30}" name="Prefix" dataDxfId="184"/>
    <tableColumn id="7" xr3:uid="{83E2A74F-B858-6946-B767-CA721DD0DE12}" name="Postfix" dataDxfId="183"/>
    <tableColumn id="11" xr3:uid="{ADBF929F-A437-7A42-B5EE-CA1C4C9D4880}" name="CALC" dataDxfId="182"/>
    <tableColumn id="8" xr3:uid="{0BF9FD32-BE0B-AC4D-B2C3-0AE1CD340401}" name="Result" dataDxfId="181">
      <calculatedColumnFormula>Table9[[#This Row],[Prefix]] &amp; SUM(Table9[[#This Row],[Rank]:[Special]])*Table9[[#This Row],[Factor]] &amp; Table9[[#This Row],[Postfix]]</calculatedColumnFormula>
    </tableColumn>
    <tableColumn id="9" xr3:uid="{0D1C4892-DA2B-BC49-8BD4-B5FF578B67AD}" name="XP" dataDxfId="180">
      <calculatedColumnFormula>IFERROR(VLOOKUP(Table9[[#This Row],[Rank]],RANK_LOOKUP,2,FALSE),0)</calculatedColumnFormula>
    </tableColumn>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AE27B7B0-F0E3-E243-8EFB-88A5ADED5F80}" name="Table12" displayName="Table12" ref="A2:V22" totalsRowCount="1" headerRowDxfId="179" dataDxfId="178">
  <autoFilter ref="A2:V21" xr:uid="{B162921F-791F-624A-81ED-6E2D19AD3439}"/>
  <tableColumns count="22">
    <tableColumn id="1" xr3:uid="{D6AFC6F4-56C5-B94E-AAD7-C07A92ACC04B}" name="Location" totalsRowLabel="Total" dataDxfId="177" totalsRowDxfId="176"/>
    <tableColumn id="2" xr3:uid="{6EC0F666-8D61-D644-BCAC-A4117F1781F2}" name="Name" dataDxfId="175" totalsRowDxfId="174"/>
    <tableColumn id="3" xr3:uid="{FDC3F4BD-A2FD-6648-8EE1-D8B4F6108857}" name="Enabled" dataDxfId="173" totalsRowDxfId="172"/>
    <tableColumn id="4" xr3:uid="{6BD01D3C-E517-274F-87F1-974D9398BA72}" name="DMG" totalsRowFunction="custom" dataDxfId="171" totalsRowDxfId="170">
      <totalsRowFormula>SUMIF(Table12[Enabled],"Yes",Table12[DMG])</totalsRowFormula>
    </tableColumn>
    <tableColumn id="5" xr3:uid="{1E15D738-D79A-244C-851E-E57C038AF8E0}" name="Stamina" totalsRowFunction="custom" dataDxfId="169" totalsRowDxfId="168">
      <totalsRowFormula>SUMIF(Table12[Enabled],"Yes",Table12[Stamina])</totalsRowFormula>
    </tableColumn>
    <tableColumn id="6" xr3:uid="{4356B910-7F96-084F-A9BD-24B81A1D65C2}" name="Crit" totalsRowFunction="custom" dataDxfId="167" totalsRowDxfId="166">
      <totalsRowFormula>SUMIF(Table12[Enabled],"Yes",Table12[Stamina])</totalsRowFormula>
    </tableColumn>
    <tableColumn id="7" xr3:uid="{34D53967-FE59-F548-9D59-EBF5A5FF3B80}" name="Crit DMG" totalsRowFunction="custom" dataDxfId="165" totalsRowDxfId="164">
      <totalsRowFormula>SUMIF(Table12[Enabled],"Yes",Table12[Crit DMG])</totalsRowFormula>
    </tableColumn>
    <tableColumn id="8" xr3:uid="{D37EF853-D2F7-214A-83D0-086F59F00DC8}" name="Splash" totalsRowFunction="custom" dataDxfId="163" totalsRowDxfId="162">
      <totalsRowFormula>SUMIF(Table12[Enabled],"Yes",Table12[Splash])</totalsRowFormula>
    </tableColumn>
    <tableColumn id="9" xr3:uid="{5DE5E55B-8076-214A-88F0-165C9D5589AB}" name="Splash _x000a_DMG" totalsRowFunction="custom" dataDxfId="161" totalsRowDxfId="160">
      <totalsRowFormula>SUMIF(Table12[Enabled],"Yes",Table12[Splash 
DMG])</totalsRowFormula>
    </tableColumn>
    <tableColumn id="10" xr3:uid="{1CB3B9C9-B073-D24E-A036-62CB1C097282}" name="Exprt." totalsRowFunction="custom" dataDxfId="159" totalsRowDxfId="158">
      <totalsRowFormula>SUMIF(Table12[Enabled],"Yes",Table12[Exprt.])</totalsRowFormula>
    </tableColumn>
    <tableColumn id="11" xr3:uid="{80F0809C-2100-2247-9ADB-01576F8CA19B}" name="Mvmt." totalsRowFunction="custom" dataDxfId="157" totalsRowDxfId="156">
      <totalsRowFormula>SUMIF(Table12[Enabled],"Yes",Table12[Mvmt.])</totalsRowFormula>
    </tableColumn>
    <tableColumn id="12" xr3:uid="{100B3365-5937-EA45-886B-E3DFD195C5B2}" name="Extra _x000a_Attack" totalsRowFunction="custom" dataDxfId="155" totalsRowDxfId="154">
      <totalsRowFormula>SUMIF(Table12[Enabled],"Yes",Table12[Extra 
Attack])</totalsRowFormula>
    </tableColumn>
    <tableColumn id="13" xr3:uid="{5594E278-21E8-A14C-ADBC-E8B9C800F93B}" name="Armor" totalsRowFunction="custom" dataDxfId="153" totalsRowDxfId="152">
      <totalsRowFormula>SUMIF(Table12[Enabled],"Yes",Table12[Armor])</totalsRowFormula>
    </tableColumn>
    <tableColumn id="14" xr3:uid="{CB23327D-EFF8-A342-A9DE-65E1B7BC4BE3}" name="Aura" totalsRowFunction="custom" dataDxfId="151" totalsRowDxfId="150">
      <totalsRowFormula>SUMIF(Table12[Enabled],"Yes",Table12[Aura])</totalsRowFormula>
    </tableColumn>
    <tableColumn id="15" xr3:uid="{B0438D6C-EBB6-7D45-9116-94CBEFB8D439}" name="Directed Strike" totalsRowFunction="custom" dataDxfId="149" totalsRowDxfId="148">
      <totalsRowFormula>SUMIF(Table12[Enabled],"Yes",Table12[Directed Strike])</totalsRowFormula>
    </tableColumn>
    <tableColumn id="16" xr3:uid="{0C0196AE-E23B-644F-8625-5FFF406E7239}" name="INI" totalsRowFunction="custom" dataDxfId="147" totalsRowDxfId="146">
      <totalsRowFormula>SUMIF(Table12[Enabled],"Yes",Table12[INI])</totalsRowFormula>
    </tableColumn>
    <tableColumn id="17" xr3:uid="{0CE5E91F-F441-3541-ACBF-9B6E8F3D32BE}" name="STR" totalsRowFunction="custom" dataDxfId="145" totalsRowDxfId="144">
      <totalsRowFormula>SUMIF(Table12[Enabled],"Yes",Table12[STR])</totalsRowFormula>
    </tableColumn>
    <tableColumn id="18" xr3:uid="{CE0B6C3F-7775-4E44-8CAD-EB5E7ED373D8}" name="AGI" totalsRowFunction="custom" dataDxfId="143" totalsRowDxfId="142">
      <totalsRowFormula>SUMIF(Table12[Enabled],"Yes",Table12[AGI])</totalsRowFormula>
    </tableColumn>
    <tableColumn id="19" xr3:uid="{DD3C9C3F-31EB-7F48-83CE-9607AADE61CE}" name="INU" totalsRowFunction="custom" dataDxfId="141" totalsRowDxfId="140">
      <totalsRowFormula>SUMIF(Table12[Enabled],"Yes",Table12[INU])</totalsRowFormula>
    </tableColumn>
    <tableColumn id="20" xr3:uid="{93C1F38D-CC0D-9F4E-AFB2-B3B60FA2E230}" name="CHA" totalsRowFunction="custom" dataDxfId="139" totalsRowDxfId="138">
      <totalsRowFormula>SUMIF(Table12[Enabled],"Yes",Table12[CHA])</totalsRowFormula>
    </tableColumn>
    <tableColumn id="21" xr3:uid="{86EE74A2-267E-5244-ADE0-325523D5DAF0}" name="PER" totalsRowFunction="custom" dataDxfId="137" totalsRowDxfId="136">
      <totalsRowFormula>SUMIF(Table12[Enabled],"Yes",Table12[PER])</totalsRowFormula>
    </tableColumn>
    <tableColumn id="23" xr3:uid="{DBC245A7-FD67-824A-B01B-CDA3F14F2832}" name="Description" dataDxfId="135" totalsRowDxfId="134"/>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AF77A677-2D80-6443-A05D-655858194459}" name="Table1218" displayName="Table1218" ref="A2:Z22" totalsRowCount="1" headerRowDxfId="133" dataDxfId="132">
  <autoFilter ref="A2:Z21" xr:uid="{B162921F-791F-624A-81ED-6E2D19AD3439}"/>
  <tableColumns count="26">
    <tableColumn id="2" xr3:uid="{E56D130D-99FD-2946-944B-A51CABD832AC}" name="Name" dataDxfId="131" totalsRowDxfId="130"/>
    <tableColumn id="3" xr3:uid="{BC699B2A-E436-DD44-83B3-3C0AAF24FC76}" name="Enabled" dataDxfId="129" totalsRowDxfId="128"/>
    <tableColumn id="25" xr3:uid="{DE34C382-31A8-114A-B47A-484AE873AF1F}" name="Type" dataDxfId="127" totalsRowDxfId="126"/>
    <tableColumn id="24" xr3:uid="{8B9165EA-408B-0644-BD6C-7AF334F6ACD8}" name="#" dataDxfId="125" totalsRowDxfId="124"/>
    <tableColumn id="23" xr3:uid="{ECE39BFF-43E4-2240-9FE3-1B3C6A2CD436}" name="Dice" dataDxfId="123" totalsRowDxfId="122"/>
    <tableColumn id="26" xr3:uid="{3AA6F904-F0B0-9449-8DDC-3027E3A4BE30}" name="Constant" dataDxfId="121" totalsRowDxfId="120"/>
    <tableColumn id="22" xr3:uid="{E209AE0C-255B-2449-B26F-DEE2F0E8CF23}" name="INI" dataDxfId="119" totalsRowDxfId="118"/>
    <tableColumn id="4" xr3:uid="{B47ADA7A-75BF-8845-B1F4-51CE35E67214}" name="DMG" totalsRowFunction="custom" dataDxfId="117" totalsRowDxfId="116">
      <totalsRowFormula>SUMIF(Table1218[Enabled],"Yes",Table1218[DMG])</totalsRowFormula>
    </tableColumn>
    <tableColumn id="5" xr3:uid="{A56869D3-EF92-704B-9000-BD3D1B486A75}" name="Stamina" totalsRowFunction="custom" dataDxfId="115" totalsRowDxfId="114">
      <totalsRowFormula>SUMIF(Table1218[Enabled],"Yes",Table1218[Stamina])</totalsRowFormula>
    </tableColumn>
    <tableColumn id="6" xr3:uid="{4399BDD2-0759-9445-AC6C-05B3B499C492}" name="Crit" totalsRowFunction="custom" dataDxfId="113" totalsRowDxfId="112">
      <totalsRowFormula>SUMIF(Table1218[Enabled],"Yes",Table1218[Stamina])</totalsRowFormula>
    </tableColumn>
    <tableColumn id="7" xr3:uid="{D6B38714-0E9C-D649-BFE5-49596BA9BF1C}" name="Crit DMG" totalsRowFunction="custom" dataDxfId="111" totalsRowDxfId="110">
      <totalsRowFormula>SUMIF(Table1218[Enabled],"Yes",Table1218[Crit DMG])</totalsRowFormula>
    </tableColumn>
    <tableColumn id="8" xr3:uid="{9519CA17-112B-224B-952F-51AC027496F6}" name="Splash" totalsRowFunction="custom" dataDxfId="109" totalsRowDxfId="108">
      <totalsRowFormula>SUMIF(Table1218[Enabled],"Yes",Table1218[Splash])</totalsRowFormula>
    </tableColumn>
    <tableColumn id="9" xr3:uid="{429CA498-92FA-A74E-BC4B-6663D9D8CABA}" name="Splash _x000a_DMG" totalsRowFunction="custom" dataDxfId="107" totalsRowDxfId="106">
      <totalsRowFormula>SUMIF(Table1218[Enabled],"Yes",Table1218[Splash 
DMG])</totalsRowFormula>
    </tableColumn>
    <tableColumn id="10" xr3:uid="{37D7FA16-18E2-6842-926B-EFE8BBF1B1DF}" name="Exprt." totalsRowFunction="custom" dataDxfId="105" totalsRowDxfId="104">
      <totalsRowFormula>SUMIF(Table1218[Enabled],"Yes",Table1218[Exprt.])</totalsRowFormula>
    </tableColumn>
    <tableColumn id="11" xr3:uid="{25A44E44-0A05-AC4D-8AB4-EE74A0BFFAED}" name="Mvmt." totalsRowFunction="custom" dataDxfId="103" totalsRowDxfId="102">
      <totalsRowFormula>SUMIF(Table1218[Enabled],"Yes",Table1218[Mvmt.])</totalsRowFormula>
    </tableColumn>
    <tableColumn id="12" xr3:uid="{9162589E-4452-B14F-84BF-BA8ADF153104}" name="Extra _x000a_Attack" totalsRowFunction="custom" dataDxfId="101" totalsRowDxfId="100">
      <totalsRowFormula>SUMIF(Table1218[Enabled],"Yes",Table1218[Extra 
Attack])</totalsRowFormula>
    </tableColumn>
    <tableColumn id="13" xr3:uid="{76EB8C7B-5213-1A46-B243-DA8120143C97}" name="Armor" totalsRowFunction="custom" dataDxfId="99" totalsRowDxfId="98">
      <totalsRowFormula>SUMIF(Table1218[Enabled],"Yes",Table1218[Armor])</totalsRowFormula>
    </tableColumn>
    <tableColumn id="14" xr3:uid="{7694EA49-563E-1E43-AAAE-55BA11A1C48C}" name="Aura" totalsRowFunction="custom" dataDxfId="97" totalsRowDxfId="96">
      <totalsRowFormula>SUMIF(Table1218[Enabled],"Yes",Table1218[Aura])</totalsRowFormula>
    </tableColumn>
    <tableColumn id="15" xr3:uid="{8C961621-41FF-2948-9B22-39E0CDEE8A7E}" name="Directed Strike" totalsRowFunction="custom" dataDxfId="95" totalsRowDxfId="94">
      <totalsRowFormula>SUMIF(Table1218[Enabled],"Yes",Table1218[Directed Strike])</totalsRowFormula>
    </tableColumn>
    <tableColumn id="16" xr3:uid="{C1A5919F-5B4B-C442-8BBB-F57C37FB2FEE}" name="INI2" totalsRowFunction="custom" dataDxfId="93" totalsRowDxfId="92">
      <totalsRowFormula>SUMIF(Table1218[Enabled],"Yes",Table1218[INI2])</totalsRowFormula>
    </tableColumn>
    <tableColumn id="17" xr3:uid="{93F7A8DA-DC28-864F-8239-7E93AD5F7188}" name="STR" totalsRowFunction="custom" dataDxfId="91" totalsRowDxfId="90">
      <totalsRowFormula>SUMIF(Table1218[Enabled],"Yes",Table1218[STR])</totalsRowFormula>
    </tableColumn>
    <tableColumn id="18" xr3:uid="{5E33A6F3-45E5-B14F-8A37-AE470CDA5006}" name="AGI" totalsRowFunction="custom" dataDxfId="89" totalsRowDxfId="88">
      <totalsRowFormula>SUMIF(Table1218[Enabled],"Yes",Table1218[AGI])</totalsRowFormula>
    </tableColumn>
    <tableColumn id="19" xr3:uid="{47674090-5365-2D4F-B2B6-FA5831CE6013}" name="INU" totalsRowFunction="custom" dataDxfId="87" totalsRowDxfId="86">
      <totalsRowFormula>SUMIF(Table1218[Enabled],"Yes",Table1218[INU])</totalsRowFormula>
    </tableColumn>
    <tableColumn id="20" xr3:uid="{180A191A-7E92-F146-BDD6-AFE6A0673A36}" name="CHA" totalsRowFunction="custom" dataDxfId="85" totalsRowDxfId="84">
      <totalsRowFormula>SUMIF(Table1218[Enabled],"Yes",Table1218[CHA])</totalsRowFormula>
    </tableColumn>
    <tableColumn id="21" xr3:uid="{66B45B9E-7117-9F4B-9D86-B2A72231074D}" name="PER" totalsRowFunction="custom" dataDxfId="83" totalsRowDxfId="82">
      <totalsRowFormula>SUMIF(Table1218[Enabled],"Yes",Table1218[PER])</totalsRowFormula>
    </tableColumn>
    <tableColumn id="27" xr3:uid="{D8540632-FC51-0D4F-8B9C-2BD5CF3D48BD}" name="Result" dataDxfId="81" totalsRowDxfId="80">
      <calculatedColumnFormula>Table1218[[#This Row],[Name]] &amp; ": " &amp; Table1218[[#This Row],['#]] &amp; "d" &amp; Table1218[[#This Row],[Dice]] &amp; "+" &amp; Table1218[[#This Row],[Constant]] + IF(Table1218[[#This Row],[Type]]="Melee",STR, 0) + IF(Table1218[[#This Row],[Type]]="Ranged",AGI, 0) + IF(Table1218[[#This Row],[Type]]="Magic",INU,0) + FEAT_DMG</calculatedColumnFormula>
    </tableColumn>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3546F50-DAF2-5C48-8B21-E1774EDED48A}" name="Table18" displayName="Table18" ref="A1:G4" totalsRowCount="1">
  <autoFilter ref="A1:G3" xr:uid="{AB73435D-1DA5-9D4D-A3C2-6FDD431734AF}"/>
  <tableColumns count="7">
    <tableColumn id="1" xr3:uid="{D3222AC0-22D0-884F-9ACB-057509AFE854}" name="Name" totalsRowLabel="Total" dataDxfId="21"/>
    <tableColumn id="2" xr3:uid="{599153C8-C04F-1E43-B915-4EFDDAA10575}" name="Type" dataDxfId="20"/>
    <tableColumn id="3" xr3:uid="{EDEC5936-D857-284D-9D36-956AFDD7675E}" name="Rank" dataDxfId="19"/>
    <tableColumn id="4" xr3:uid="{82D28D72-C87E-9B4A-8903-1B6710B17B31}" name="Level" dataDxfId="18"/>
    <tableColumn id="7" xr3:uid="{5BDFB085-66F9-084D-91F0-257513610F8E}" name="Enabled" dataDxfId="17"/>
    <tableColumn id="5" xr3:uid="{DEE6DAA2-9721-9744-96FC-C77D47077D88}" name="XP" totalsRowFunction="custom" dataDxfId="15" totalsRowDxfId="0">
      <totalsRowFormula>SUMIF(Table18[Enabled],"=Yes",Table18[XP])</totalsRowFormula>
    </tableColumn>
    <tableColumn id="6" xr3:uid="{6625A40C-80FB-224A-BEEB-A3A7B1CB18A8}" name="Description" totalsRowFunction="count" dataDxfId="16"/>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E8E73B-2220-B14A-B34D-B2A2D31C87D8}" name="Table79" displayName="Table79" ref="A1:R33" totalsRowShown="0" headerRowDxfId="79" dataDxfId="78">
  <autoFilter ref="A1:R33" xr:uid="{9A133D1A-1408-9A4D-B1A8-016FBFDDF397}"/>
  <tableColumns count="18">
    <tableColumn id="1" xr3:uid="{8A7DFF72-A39A-0242-878A-A43522EFE24F}" name="Name" dataDxfId="77"/>
    <tableColumn id="2" xr3:uid="{1E867DD1-2259-0F42-8DE6-24E3B57FB023}" name="STR" dataDxfId="76"/>
    <tableColumn id="3" xr3:uid="{8B62FCC6-44AF-3745-9B75-FB2CB998E35C}" name="AGI" dataDxfId="75"/>
    <tableColumn id="4" xr3:uid="{A2E15CA6-9E2A-1344-A6EF-BEDA148248DE}" name="INU" dataDxfId="74"/>
    <tableColumn id="18" xr3:uid="{403E2468-C5FB-E940-8CC9-FA9C085C6CA2}" name="CHA" dataDxfId="73"/>
    <tableColumn id="5" xr3:uid="{6997B2AE-7002-964B-8C6B-EF465FAF82EA}" name="PER" dataDxfId="72"/>
    <tableColumn id="6" xr3:uid="{052C7C9D-EB8C-4640-8FD3-30EDB4571A40}" name="HP Factor" dataDxfId="71"/>
    <tableColumn id="7" xr3:uid="{CB645AD0-0F06-3B43-B1B3-E6D435FC9BBC}" name="XP" dataDxfId="70"/>
    <tableColumn id="8" xr3:uid="{187B0803-25C6-8643-B93A-30A61D579311}" name="Column2" dataDxfId="69"/>
    <tableColumn id="9" xr3:uid="{D5FA0FDA-C465-914B-9F10-275BED958455}" name="Column3" dataDxfId="68"/>
    <tableColumn id="10" xr3:uid="{E91B6F4A-B437-F54C-B449-1103036C5B36}" name="Column4" dataDxfId="67"/>
    <tableColumn id="11" xr3:uid="{916C933F-3F60-A640-86EB-CA547F95B9D7}" name="Column5" dataDxfId="66"/>
    <tableColumn id="12" xr3:uid="{C2E89ECD-3CE6-DF4A-8BED-C99396B26E38}" name="Column6" dataDxfId="65"/>
    <tableColumn id="13" xr3:uid="{584B2452-4E2B-914C-AEF2-657C6BD496DB}" name="Column7" dataDxfId="64"/>
    <tableColumn id="14" xr3:uid="{ACFF4731-2977-724C-BEA0-BF0E750D4D37}" name="Column8" dataDxfId="63"/>
    <tableColumn id="15" xr3:uid="{13FA1501-6896-C04C-AC18-9E866978A015}" name="Column9" dataDxfId="62"/>
    <tableColumn id="16" xr3:uid="{8673696E-720C-DF47-836C-C07175E535C6}" name="Column10" dataDxfId="61"/>
    <tableColumn id="17" xr3:uid="{2177733D-A9EC-574A-81A2-DCB7E8D34927}" name="Column11" dataDxfId="6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3" Type="http://schemas.openxmlformats.org/officeDocument/2006/relationships/table" Target="../tables/table13.xml"/><Relationship Id="rId2" Type="http://schemas.openxmlformats.org/officeDocument/2006/relationships/table" Target="../tables/table12.xml"/><Relationship Id="rId1" Type="http://schemas.openxmlformats.org/officeDocument/2006/relationships/table" Target="../tables/table11.xml"/><Relationship Id="rId4" Type="http://schemas.openxmlformats.org/officeDocument/2006/relationships/table" Target="../tables/table14.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A4D850-7FA0-814F-8986-D549CD923602}">
  <sheetPr codeName="Sheet1"/>
  <dimension ref="B1:BG291"/>
  <sheetViews>
    <sheetView zoomScale="160" zoomScaleNormal="160" workbookViewId="0">
      <selection activeCell="AM27" sqref="AM27"/>
    </sheetView>
  </sheetViews>
  <sheetFormatPr baseColWidth="10" defaultRowHeight="16" x14ac:dyDescent="0.2"/>
  <cols>
    <col min="1" max="50" width="1.83203125" style="30" customWidth="1"/>
    <col min="51" max="54" width="3.83203125" style="30" customWidth="1"/>
    <col min="55" max="55" width="3.5" style="30" customWidth="1"/>
    <col min="56" max="160" width="3.83203125" style="30" customWidth="1"/>
    <col min="161" max="16384" width="10.83203125" style="30"/>
  </cols>
  <sheetData>
    <row r="1" spans="2:57" ht="10" customHeight="1" x14ac:dyDescent="0.2"/>
    <row r="2" spans="2:57" ht="10" customHeight="1" x14ac:dyDescent="0.2">
      <c r="B2" s="109" t="str">
        <f>CHARACTER_NAME</f>
        <v>Peter Pan</v>
      </c>
      <c r="C2" s="109"/>
      <c r="D2" s="109"/>
      <c r="E2" s="109"/>
      <c r="F2" s="109"/>
      <c r="G2" s="109"/>
      <c r="H2" s="109"/>
      <c r="I2" s="109"/>
      <c r="J2" s="109"/>
      <c r="K2" s="109"/>
      <c r="L2" s="109"/>
      <c r="M2" s="109"/>
      <c r="N2" s="109"/>
      <c r="O2" s="109"/>
      <c r="S2" s="97" t="str">
        <f>CHARACTER_RACE</f>
        <v>None</v>
      </c>
      <c r="T2" s="97"/>
      <c r="U2" s="97"/>
      <c r="V2" s="97"/>
      <c r="W2" s="97"/>
      <c r="X2" s="97"/>
      <c r="Y2" s="97"/>
      <c r="Z2" s="97"/>
      <c r="AB2" s="97" t="str">
        <f>CHARACTER_PROFESSION</f>
        <v>None</v>
      </c>
      <c r="AC2" s="97"/>
      <c r="AD2" s="97"/>
      <c r="AE2" s="97"/>
      <c r="AF2" s="97"/>
      <c r="AG2" s="97"/>
      <c r="AH2" s="97"/>
      <c r="AI2" s="97"/>
      <c r="AN2" s="94">
        <f>TOTAL_XP</f>
        <v>0</v>
      </c>
      <c r="AO2" s="94"/>
      <c r="AP2" s="94"/>
      <c r="AQ2" s="94"/>
      <c r="AS2" s="94">
        <f>LVL</f>
        <v>0</v>
      </c>
      <c r="AT2" s="94"/>
      <c r="AU2" s="94"/>
      <c r="AV2" s="94"/>
      <c r="BE2" s="49"/>
    </row>
    <row r="3" spans="2:57" ht="10" customHeight="1" x14ac:dyDescent="0.2">
      <c r="B3" s="109"/>
      <c r="C3" s="109"/>
      <c r="D3" s="109"/>
      <c r="E3" s="109"/>
      <c r="F3" s="109"/>
      <c r="G3" s="109"/>
      <c r="H3" s="109"/>
      <c r="I3" s="109"/>
      <c r="J3" s="109"/>
      <c r="K3" s="109"/>
      <c r="L3" s="109"/>
      <c r="M3" s="109"/>
      <c r="N3" s="109"/>
      <c r="O3" s="109"/>
      <c r="S3" s="98"/>
      <c r="T3" s="98"/>
      <c r="U3" s="98"/>
      <c r="V3" s="98"/>
      <c r="W3" s="98"/>
      <c r="X3" s="98"/>
      <c r="Y3" s="98"/>
      <c r="Z3" s="98"/>
      <c r="AB3" s="98"/>
      <c r="AC3" s="98"/>
      <c r="AD3" s="98"/>
      <c r="AE3" s="98"/>
      <c r="AF3" s="98"/>
      <c r="AG3" s="98"/>
      <c r="AH3" s="98"/>
      <c r="AI3" s="98"/>
      <c r="AN3" s="94"/>
      <c r="AO3" s="94"/>
      <c r="AP3" s="94"/>
      <c r="AQ3" s="94"/>
      <c r="AS3" s="94"/>
      <c r="AT3" s="94"/>
      <c r="AU3" s="94"/>
      <c r="AV3" s="94"/>
    </row>
    <row r="4" spans="2:57" ht="10" customHeight="1" x14ac:dyDescent="0.2">
      <c r="B4" s="109"/>
      <c r="C4" s="109"/>
      <c r="D4" s="109"/>
      <c r="E4" s="109"/>
      <c r="F4" s="109"/>
      <c r="G4" s="109"/>
      <c r="H4" s="109"/>
      <c r="I4" s="109"/>
      <c r="J4" s="109"/>
      <c r="K4" s="109"/>
      <c r="L4" s="109"/>
      <c r="M4" s="109"/>
      <c r="N4" s="109"/>
      <c r="O4" s="109"/>
      <c r="S4" s="38" t="s">
        <v>50</v>
      </c>
      <c r="Z4" s="31"/>
      <c r="AB4" s="38" t="s">
        <v>203</v>
      </c>
      <c r="AI4" s="31"/>
      <c r="AJ4" s="32"/>
      <c r="AK4" s="32"/>
      <c r="AL4" s="32"/>
      <c r="AM4" s="32"/>
      <c r="AN4" s="94"/>
      <c r="AO4" s="94"/>
      <c r="AP4" s="94"/>
      <c r="AQ4" s="94"/>
      <c r="AR4" s="32"/>
      <c r="AS4" s="94"/>
      <c r="AT4" s="94"/>
      <c r="AU4" s="94"/>
      <c r="AV4" s="94"/>
    </row>
    <row r="5" spans="2:57" ht="10" customHeight="1" x14ac:dyDescent="0.2">
      <c r="B5" s="112"/>
      <c r="C5" s="112"/>
      <c r="D5" s="33"/>
      <c r="E5" s="112"/>
      <c r="F5" s="112"/>
      <c r="Z5" s="31"/>
      <c r="AB5" s="32"/>
      <c r="AC5" s="32"/>
      <c r="AD5" s="32"/>
      <c r="AE5" s="32"/>
      <c r="AF5" s="32"/>
      <c r="AG5" s="32"/>
      <c r="AH5" s="32"/>
      <c r="AI5" s="32"/>
      <c r="AJ5" s="32"/>
      <c r="AK5" s="32"/>
      <c r="AL5" s="32"/>
      <c r="AM5" s="32"/>
      <c r="AN5" s="95"/>
      <c r="AO5" s="95"/>
      <c r="AP5" s="95"/>
      <c r="AQ5" s="95"/>
      <c r="AR5" s="32"/>
      <c r="AS5" s="95"/>
      <c r="AT5" s="95"/>
      <c r="AU5" s="95"/>
      <c r="AV5" s="95"/>
    </row>
    <row r="6" spans="2:57" ht="10" customHeight="1" x14ac:dyDescent="0.2">
      <c r="F6" s="33"/>
      <c r="AN6" s="96" t="s">
        <v>52</v>
      </c>
      <c r="AO6" s="96"/>
      <c r="AP6" s="96"/>
      <c r="AQ6" s="96"/>
      <c r="AR6" s="32"/>
      <c r="AS6" s="96" t="s">
        <v>41</v>
      </c>
      <c r="AT6" s="96"/>
      <c r="AU6" s="96"/>
      <c r="AV6" s="96"/>
    </row>
    <row r="7" spans="2:57" ht="10" customHeight="1" thickBot="1" x14ac:dyDescent="0.25">
      <c r="F7" s="33"/>
      <c r="AP7" s="32"/>
      <c r="AQ7" s="32"/>
      <c r="AR7" s="32"/>
      <c r="AS7" s="32"/>
      <c r="AT7" s="32"/>
    </row>
    <row r="8" spans="2:57" ht="10" customHeight="1" thickTop="1" x14ac:dyDescent="0.2">
      <c r="B8" s="106" t="s">
        <v>30</v>
      </c>
      <c r="C8" s="107"/>
      <c r="D8" s="107"/>
      <c r="E8" s="108"/>
      <c r="F8" s="33"/>
      <c r="H8" s="81" t="s">
        <v>101</v>
      </c>
      <c r="I8" s="82"/>
      <c r="J8" s="82"/>
      <c r="K8" s="83"/>
      <c r="M8" s="81" t="s">
        <v>121</v>
      </c>
      <c r="N8" s="82"/>
      <c r="O8" s="82"/>
      <c r="P8" s="83"/>
      <c r="R8" s="81" t="s">
        <v>122</v>
      </c>
      <c r="S8" s="82"/>
      <c r="T8" s="82"/>
      <c r="U8" s="83"/>
      <c r="W8" s="81" t="s">
        <v>69</v>
      </c>
      <c r="X8" s="82"/>
      <c r="Y8" s="82"/>
      <c r="Z8" s="83"/>
      <c r="AB8" s="81" t="s">
        <v>118</v>
      </c>
      <c r="AC8" s="82"/>
      <c r="AD8" s="82"/>
      <c r="AE8" s="83"/>
      <c r="AF8" s="32"/>
      <c r="AG8" s="81" t="s">
        <v>208</v>
      </c>
      <c r="AH8" s="82"/>
      <c r="AI8" s="82"/>
      <c r="AJ8" s="83"/>
      <c r="AK8" s="32"/>
      <c r="AL8" s="81" t="s">
        <v>218</v>
      </c>
      <c r="AM8" s="82"/>
      <c r="AN8" s="82"/>
      <c r="AO8" s="83"/>
      <c r="AQ8" s="81" t="s">
        <v>212</v>
      </c>
      <c r="AR8" s="82"/>
      <c r="AS8" s="82"/>
      <c r="AT8" s="83"/>
    </row>
    <row r="9" spans="2:57" ht="10" customHeight="1" x14ac:dyDescent="0.2">
      <c r="B9" s="99">
        <f>STR</f>
        <v>1</v>
      </c>
      <c r="C9" s="100"/>
      <c r="D9" s="100"/>
      <c r="E9" s="101"/>
      <c r="F9" s="33"/>
      <c r="H9" s="84">
        <f>CHARACTER_HP</f>
        <v>5</v>
      </c>
      <c r="I9" s="85"/>
      <c r="J9" s="85"/>
      <c r="K9" s="86"/>
      <c r="M9" s="84">
        <f>CHARACTER_ARMOR</f>
        <v>0</v>
      </c>
      <c r="N9" s="85"/>
      <c r="O9" s="85"/>
      <c r="P9" s="86"/>
      <c r="R9" s="84">
        <f>CHARACTER_AURA</f>
        <v>0</v>
      </c>
      <c r="S9" s="85"/>
      <c r="T9" s="85"/>
      <c r="U9" s="86"/>
      <c r="W9" s="84">
        <f>CHARACTER_EXPERTISE</f>
        <v>0</v>
      </c>
      <c r="X9" s="85"/>
      <c r="Y9" s="85"/>
      <c r="Z9" s="86"/>
      <c r="AB9" s="84">
        <f>CHARACTER_MOVEMENT</f>
        <v>10</v>
      </c>
      <c r="AC9" s="85"/>
      <c r="AD9" s="85"/>
      <c r="AE9" s="86"/>
      <c r="AF9" s="32"/>
      <c r="AG9" s="84">
        <f>CHARACTER_INI</f>
        <v>20</v>
      </c>
      <c r="AH9" s="85"/>
      <c r="AI9" s="85"/>
      <c r="AJ9" s="86"/>
      <c r="AK9" s="32"/>
      <c r="AL9" s="84" t="str">
        <f>FEAT_INI</f>
        <v>0</v>
      </c>
      <c r="AM9" s="85"/>
      <c r="AN9" s="85"/>
      <c r="AO9" s="86"/>
      <c r="AQ9" s="84">
        <f>CHARACTER_AP</f>
        <v>3</v>
      </c>
      <c r="AR9" s="85"/>
      <c r="AS9" s="85"/>
      <c r="AT9" s="86"/>
    </row>
    <row r="10" spans="2:57" ht="10" customHeight="1" x14ac:dyDescent="0.2">
      <c r="B10" s="99"/>
      <c r="C10" s="100"/>
      <c r="D10" s="100"/>
      <c r="E10" s="101"/>
      <c r="F10" s="33"/>
      <c r="H10" s="84"/>
      <c r="I10" s="85"/>
      <c r="J10" s="85"/>
      <c r="K10" s="86"/>
      <c r="M10" s="84"/>
      <c r="N10" s="85"/>
      <c r="O10" s="85"/>
      <c r="P10" s="86"/>
      <c r="R10" s="84"/>
      <c r="S10" s="85"/>
      <c r="T10" s="85"/>
      <c r="U10" s="86"/>
      <c r="W10" s="84"/>
      <c r="X10" s="85"/>
      <c r="Y10" s="85"/>
      <c r="Z10" s="86"/>
      <c r="AB10" s="84"/>
      <c r="AC10" s="85"/>
      <c r="AD10" s="85"/>
      <c r="AE10" s="86"/>
      <c r="AF10" s="32"/>
      <c r="AG10" s="84"/>
      <c r="AH10" s="85"/>
      <c r="AI10" s="85"/>
      <c r="AJ10" s="86"/>
      <c r="AK10" s="32"/>
      <c r="AL10" s="84"/>
      <c r="AM10" s="85"/>
      <c r="AN10" s="85"/>
      <c r="AO10" s="86"/>
      <c r="AP10" s="32"/>
      <c r="AQ10" s="84"/>
      <c r="AR10" s="85"/>
      <c r="AS10" s="85"/>
      <c r="AT10" s="86"/>
    </row>
    <row r="11" spans="2:57" ht="10" customHeight="1" thickBot="1" x14ac:dyDescent="0.25">
      <c r="B11" s="99"/>
      <c r="C11" s="100"/>
      <c r="D11" s="100"/>
      <c r="E11" s="101"/>
      <c r="F11" s="33"/>
      <c r="H11" s="87"/>
      <c r="I11" s="88"/>
      <c r="J11" s="88"/>
      <c r="K11" s="89"/>
      <c r="M11" s="87"/>
      <c r="N11" s="88"/>
      <c r="O11" s="88"/>
      <c r="P11" s="89"/>
      <c r="R11" s="87"/>
      <c r="S11" s="88"/>
      <c r="T11" s="88"/>
      <c r="U11" s="89"/>
      <c r="W11" s="87"/>
      <c r="X11" s="88"/>
      <c r="Y11" s="88"/>
      <c r="Z11" s="89"/>
      <c r="AB11" s="87"/>
      <c r="AC11" s="88"/>
      <c r="AD11" s="88"/>
      <c r="AE11" s="89"/>
      <c r="AF11" s="32"/>
      <c r="AG11" s="87"/>
      <c r="AH11" s="88"/>
      <c r="AI11" s="88"/>
      <c r="AJ11" s="89"/>
      <c r="AK11" s="32"/>
      <c r="AL11" s="87"/>
      <c r="AM11" s="88"/>
      <c r="AN11" s="88"/>
      <c r="AO11" s="89"/>
      <c r="AP11" s="32"/>
      <c r="AQ11" s="87"/>
      <c r="AR11" s="88"/>
      <c r="AS11" s="88"/>
      <c r="AT11" s="89"/>
    </row>
    <row r="12" spans="2:57" ht="10" customHeight="1" thickTop="1" thickBot="1" x14ac:dyDescent="0.25">
      <c r="B12" s="39"/>
      <c r="C12" s="102">
        <f>STR_TOTAL</f>
        <v>5</v>
      </c>
      <c r="D12" s="103"/>
      <c r="E12" s="40"/>
      <c r="F12" s="33"/>
      <c r="G12" s="38"/>
      <c r="H12" s="38"/>
      <c r="I12" s="38"/>
      <c r="J12" s="38"/>
      <c r="K12" s="38"/>
      <c r="L12" s="38"/>
      <c r="M12" s="38"/>
      <c r="N12" s="38"/>
      <c r="O12" s="38"/>
      <c r="P12" s="38"/>
      <c r="Q12" s="38"/>
      <c r="R12" s="38"/>
      <c r="S12" s="38"/>
      <c r="T12" s="38"/>
      <c r="U12" s="38"/>
      <c r="V12" s="38"/>
      <c r="W12" s="38"/>
      <c r="X12" s="38"/>
      <c r="Y12" s="38"/>
      <c r="Z12" s="38"/>
      <c r="AA12" s="38"/>
      <c r="AB12" s="41"/>
      <c r="AC12" s="41"/>
      <c r="AD12" s="41"/>
      <c r="AE12" s="41"/>
      <c r="AF12" s="41"/>
      <c r="AK12" s="41"/>
      <c r="AL12" s="41"/>
      <c r="AM12" s="41"/>
      <c r="AN12" s="41"/>
      <c r="AO12" s="41"/>
      <c r="AP12" s="41"/>
      <c r="AQ12" s="41"/>
      <c r="AR12" s="41"/>
      <c r="AW12" s="38"/>
    </row>
    <row r="13" spans="2:57" ht="10" customHeight="1" x14ac:dyDescent="0.15">
      <c r="B13" s="34"/>
      <c r="C13" s="104"/>
      <c r="D13" s="105"/>
      <c r="E13" s="33"/>
      <c r="F13" s="33"/>
      <c r="G13" s="38"/>
      <c r="H13" s="46" t="str">
        <f>INDEX(Skills!$A$1:$K$34,2,1)</f>
        <v>Weapon Skill</v>
      </c>
      <c r="I13" s="47"/>
      <c r="J13" s="47"/>
      <c r="K13" s="47"/>
      <c r="L13" s="47"/>
      <c r="M13" s="47"/>
      <c r="N13" s="42" t="str">
        <f>INDEX(Table2[[#Headers],[#Data]],2,11)</f>
        <v>1d10 + 0</v>
      </c>
      <c r="O13" s="42"/>
      <c r="P13" s="42"/>
      <c r="Q13" s="43"/>
      <c r="R13" s="38"/>
      <c r="S13" s="53" t="s">
        <v>109</v>
      </c>
      <c r="T13" s="42"/>
      <c r="U13" s="42"/>
      <c r="V13" s="42"/>
      <c r="W13" s="42"/>
      <c r="X13" s="42"/>
      <c r="Y13" s="61" t="str">
        <f>INDEX(FEATS,ROW(A1),11)</f>
        <v>+0</v>
      </c>
      <c r="Z13" s="55"/>
      <c r="AA13" s="55"/>
      <c r="AB13" s="56"/>
      <c r="AC13" s="38"/>
      <c r="AE13" s="110" t="s">
        <v>88</v>
      </c>
      <c r="AF13" s="110"/>
      <c r="AG13" s="110"/>
      <c r="AH13" s="110"/>
      <c r="AI13" s="110"/>
      <c r="AJ13" s="110"/>
      <c r="AK13" s="110"/>
      <c r="AL13" s="110"/>
      <c r="AM13" s="110"/>
      <c r="AN13" s="110"/>
      <c r="AO13" s="110"/>
      <c r="AP13" s="110"/>
      <c r="AQ13" s="110"/>
      <c r="AR13" s="110"/>
      <c r="AS13" s="110"/>
      <c r="AT13" s="110"/>
      <c r="AU13" s="110"/>
      <c r="AV13" s="110"/>
      <c r="AW13" s="110"/>
    </row>
    <row r="14" spans="2:57" ht="10" customHeight="1" thickBot="1" x14ac:dyDescent="0.2">
      <c r="B14" s="34"/>
      <c r="C14" s="34"/>
      <c r="D14" s="33"/>
      <c r="E14" s="33"/>
      <c r="F14" s="33"/>
      <c r="G14" s="38"/>
      <c r="H14" s="48" t="str">
        <f>INDEX(Skills!$A$1:$K$34,3,1)</f>
        <v>Unarmed Skill</v>
      </c>
      <c r="I14" s="49"/>
      <c r="J14" s="49"/>
      <c r="K14" s="49"/>
      <c r="L14" s="49"/>
      <c r="M14" s="49"/>
      <c r="N14" s="44" t="str">
        <f>INDEX(Table2[[#Headers],[#Data]],3,11)</f>
        <v>1d10 + 0</v>
      </c>
      <c r="O14" s="44"/>
      <c r="P14" s="44"/>
      <c r="Q14" s="45"/>
      <c r="R14" s="38"/>
      <c r="S14" s="54" t="s">
        <v>111</v>
      </c>
      <c r="T14" s="44"/>
      <c r="U14" s="44"/>
      <c r="V14" s="44"/>
      <c r="W14" s="44"/>
      <c r="X14" s="44"/>
      <c r="Y14" s="60" t="str">
        <f>INDEX(FEATS,ROW(A2),11)</f>
        <v>+0</v>
      </c>
      <c r="AA14" s="57"/>
      <c r="AB14" s="58"/>
      <c r="AC14" s="38"/>
      <c r="AE14" s="111"/>
      <c r="AF14" s="111"/>
      <c r="AG14" s="111"/>
      <c r="AH14" s="111"/>
      <c r="AI14" s="111"/>
      <c r="AJ14" s="111"/>
      <c r="AK14" s="111"/>
      <c r="AL14" s="111"/>
      <c r="AM14" s="111"/>
      <c r="AN14" s="111"/>
      <c r="AO14" s="111"/>
      <c r="AP14" s="111"/>
      <c r="AQ14" s="111"/>
      <c r="AR14" s="111"/>
      <c r="AS14" s="111"/>
      <c r="AT14" s="111"/>
      <c r="AU14" s="111"/>
      <c r="AV14" s="111"/>
      <c r="AW14" s="111"/>
    </row>
    <row r="15" spans="2:57" ht="10" customHeight="1" x14ac:dyDescent="0.15">
      <c r="B15" s="106" t="s">
        <v>31</v>
      </c>
      <c r="C15" s="107"/>
      <c r="D15" s="107"/>
      <c r="E15" s="108"/>
      <c r="F15" s="33"/>
      <c r="G15" s="38"/>
      <c r="H15" s="48" t="str">
        <f>INDEX(Skills!$A$1:$K$34,4,1)</f>
        <v>Dodge</v>
      </c>
      <c r="I15" s="49"/>
      <c r="J15" s="49"/>
      <c r="K15" s="49"/>
      <c r="L15" s="49"/>
      <c r="M15" s="49"/>
      <c r="N15" s="44" t="str">
        <f>INDEX(Table2[[#Headers],[#Data]],4,11)</f>
        <v>1d10 + 0</v>
      </c>
      <c r="O15" s="44"/>
      <c r="P15" s="44"/>
      <c r="Q15" s="45"/>
      <c r="R15" s="38"/>
      <c r="S15" s="54" t="s">
        <v>112</v>
      </c>
      <c r="T15" s="44"/>
      <c r="U15" s="44"/>
      <c r="V15" s="44"/>
      <c r="W15" s="44"/>
      <c r="X15" s="44"/>
      <c r="Y15" s="60" t="str">
        <f>INDEX(FEATS,3,11)</f>
        <v>20</v>
      </c>
      <c r="AA15" s="57"/>
      <c r="AB15" s="58"/>
      <c r="AC15" s="38"/>
      <c r="AE15" s="38"/>
      <c r="AF15" s="38"/>
      <c r="AG15" s="38"/>
      <c r="AH15" s="38"/>
      <c r="AI15" s="38"/>
      <c r="AJ15" s="38"/>
      <c r="AK15" s="38"/>
      <c r="AL15" s="38"/>
      <c r="AM15" s="38"/>
      <c r="AN15" s="41"/>
      <c r="AO15" s="41"/>
      <c r="AP15" s="41"/>
      <c r="AQ15" s="41"/>
      <c r="AR15" s="41"/>
      <c r="AS15" s="41"/>
      <c r="AT15" s="41"/>
      <c r="AU15" s="38"/>
      <c r="AV15" s="38"/>
      <c r="AW15" s="38"/>
    </row>
    <row r="16" spans="2:57" ht="10" customHeight="1" x14ac:dyDescent="0.2">
      <c r="B16" s="99">
        <f>AGI</f>
        <v>1</v>
      </c>
      <c r="C16" s="100"/>
      <c r="D16" s="100"/>
      <c r="E16" s="101"/>
      <c r="F16" s="33"/>
      <c r="G16" s="38"/>
      <c r="H16" s="48" t="str">
        <f>INDEX(Skills!$A$1:$K$34,5,1)</f>
        <v>Ballistic Skill</v>
      </c>
      <c r="I16" s="49"/>
      <c r="J16" s="49"/>
      <c r="K16" s="49"/>
      <c r="L16" s="49"/>
      <c r="M16" s="49"/>
      <c r="N16" s="44" t="str">
        <f>INDEX(Table2[[#Headers],[#Data]],5,11)</f>
        <v>1d10 + 0</v>
      </c>
      <c r="O16" s="44"/>
      <c r="P16" s="44"/>
      <c r="Q16" s="45"/>
      <c r="R16" s="38"/>
      <c r="S16" s="54" t="s">
        <v>114</v>
      </c>
      <c r="T16" s="44"/>
      <c r="U16" s="44"/>
      <c r="V16" s="44"/>
      <c r="W16" s="44"/>
      <c r="X16" s="44"/>
      <c r="Y16" s="60" t="str">
        <f t="shared" ref="Y16:Y26" si="0">INDEX(FEATS,ROW(A4),11)</f>
        <v>+0d4</v>
      </c>
      <c r="AA16" s="57"/>
      <c r="AB16" s="58"/>
      <c r="AC16" s="38"/>
      <c r="AE16" s="93" t="str">
        <f>Weapons!Z3</f>
        <v>Dagger: 1d4+1</v>
      </c>
      <c r="AF16" s="93"/>
      <c r="AG16" s="93"/>
      <c r="AH16" s="93"/>
      <c r="AI16" s="93"/>
      <c r="AJ16" s="93"/>
      <c r="AK16" s="93"/>
      <c r="AL16" s="93"/>
      <c r="AM16" s="93"/>
      <c r="AN16" s="93"/>
      <c r="AO16" s="93"/>
      <c r="AP16" s="93"/>
      <c r="AQ16" s="93"/>
      <c r="AR16" s="93"/>
      <c r="AS16" s="93"/>
      <c r="AT16" s="93"/>
      <c r="AU16" s="93"/>
      <c r="AV16" s="93"/>
      <c r="AW16" s="93"/>
      <c r="AX16" s="80"/>
      <c r="AY16" s="80"/>
      <c r="AZ16" s="80"/>
      <c r="BA16" s="80"/>
      <c r="BB16" s="80"/>
      <c r="BC16" s="80"/>
      <c r="BD16" s="21"/>
    </row>
    <row r="17" spans="2:59" ht="10" customHeight="1" x14ac:dyDescent="0.25">
      <c r="B17" s="99"/>
      <c r="C17" s="100"/>
      <c r="D17" s="100"/>
      <c r="E17" s="101"/>
      <c r="F17" s="33"/>
      <c r="G17" s="38"/>
      <c r="H17" s="48" t="str">
        <f>INDEX(Skills!$A$1:$K$34,6,1)</f>
        <v>Tactics</v>
      </c>
      <c r="I17" s="49"/>
      <c r="J17" s="49"/>
      <c r="K17" s="49"/>
      <c r="L17" s="49"/>
      <c r="M17" s="49"/>
      <c r="N17" s="44" t="str">
        <f>INDEX(Table2[[#Headers],[#Data]],6,11)</f>
        <v>1d10 + 0</v>
      </c>
      <c r="O17" s="44"/>
      <c r="P17" s="44"/>
      <c r="Q17" s="45"/>
      <c r="R17" s="38"/>
      <c r="S17" s="54" t="s">
        <v>116</v>
      </c>
      <c r="T17" s="44"/>
      <c r="U17" s="44"/>
      <c r="V17" s="44"/>
      <c r="W17" s="44"/>
      <c r="X17" s="44"/>
      <c r="Y17" s="60" t="str">
        <f t="shared" si="0"/>
        <v>0%</v>
      </c>
      <c r="AA17" s="57"/>
      <c r="AB17" s="58"/>
      <c r="AC17" s="38"/>
      <c r="AE17" s="50"/>
      <c r="AF17" s="51"/>
      <c r="AG17" s="51"/>
      <c r="AH17" s="51"/>
      <c r="AI17" s="51"/>
      <c r="AJ17" s="51"/>
      <c r="AK17" s="51"/>
      <c r="AL17" s="51"/>
      <c r="AM17" s="51"/>
      <c r="AN17" s="51"/>
      <c r="AO17" s="51"/>
      <c r="AP17" s="51"/>
      <c r="AQ17" s="51"/>
      <c r="AR17" s="51"/>
      <c r="AS17" s="51"/>
      <c r="AT17" s="51"/>
      <c r="AU17" s="51"/>
      <c r="AV17" s="51"/>
      <c r="AW17" s="51"/>
      <c r="AX17" s="51"/>
      <c r="AY17" s="51"/>
      <c r="AZ17" s="51"/>
      <c r="BA17" s="51"/>
      <c r="BB17" s="51"/>
      <c r="BC17" s="51"/>
      <c r="BD17" s="79"/>
    </row>
    <row r="18" spans="2:59" ht="10" customHeight="1" x14ac:dyDescent="0.15">
      <c r="B18" s="99"/>
      <c r="C18" s="100"/>
      <c r="D18" s="100"/>
      <c r="E18" s="101"/>
      <c r="F18" s="33"/>
      <c r="G18" s="38"/>
      <c r="H18" s="48" t="str">
        <f>INDEX(Skills!$A$1:$K$34,7,1)</f>
        <v>Acrobatics</v>
      </c>
      <c r="I18" s="49"/>
      <c r="J18" s="49"/>
      <c r="K18" s="49"/>
      <c r="L18" s="49"/>
      <c r="M18" s="49"/>
      <c r="N18" s="44" t="str">
        <f>INDEX(Table2[[#Headers],[#Data]],7,11)</f>
        <v>1d10 + 0</v>
      </c>
      <c r="O18" s="44"/>
      <c r="P18" s="44"/>
      <c r="Q18" s="45"/>
      <c r="R18" s="38"/>
      <c r="S18" s="54" t="s">
        <v>123</v>
      </c>
      <c r="T18" s="44"/>
      <c r="U18" s="44"/>
      <c r="V18" s="44"/>
      <c r="W18" s="44"/>
      <c r="X18" s="44"/>
      <c r="Y18" s="60" t="str">
        <f t="shared" si="0"/>
        <v>+0d4</v>
      </c>
      <c r="AA18" s="57"/>
      <c r="AB18" s="58"/>
      <c r="AC18" s="38"/>
      <c r="AE18" s="44"/>
      <c r="AF18" s="44"/>
      <c r="AG18" s="44"/>
      <c r="AH18" s="44"/>
      <c r="AI18" s="44"/>
      <c r="AJ18" s="44"/>
      <c r="AK18" s="44"/>
      <c r="AL18" s="44"/>
      <c r="AM18" s="44"/>
      <c r="AN18" s="44"/>
      <c r="AO18" s="44"/>
      <c r="AP18" s="44"/>
      <c r="AQ18" s="57"/>
      <c r="AR18" s="57"/>
      <c r="AS18" s="57"/>
      <c r="AT18" s="57"/>
      <c r="AU18" s="44"/>
      <c r="AV18" s="44"/>
      <c r="AW18" s="44"/>
      <c r="AX18" s="33"/>
      <c r="AY18" s="33"/>
      <c r="AZ18" s="33"/>
      <c r="BA18" s="33"/>
      <c r="BB18" s="33"/>
      <c r="BC18" s="33"/>
    </row>
    <row r="19" spans="2:59" ht="10" customHeight="1" thickBot="1" x14ac:dyDescent="0.2">
      <c r="B19" s="35"/>
      <c r="C19" s="102">
        <f>AGI_TOTAL</f>
        <v>5</v>
      </c>
      <c r="D19" s="103"/>
      <c r="E19" s="36"/>
      <c r="F19" s="33"/>
      <c r="G19" s="38"/>
      <c r="H19" s="48" t="str">
        <f>INDEX(Skills!$A$1:$K$34,8,1)</f>
        <v>Magic Skill</v>
      </c>
      <c r="I19" s="49"/>
      <c r="J19" s="49"/>
      <c r="K19" s="49"/>
      <c r="L19" s="49"/>
      <c r="M19" s="49"/>
      <c r="N19" s="44" t="str">
        <f>INDEX(Table2[[#Headers],[#Data]],8,11)</f>
        <v>1d10 + 0</v>
      </c>
      <c r="O19" s="44"/>
      <c r="P19" s="44"/>
      <c r="Q19" s="45"/>
      <c r="R19" s="38"/>
      <c r="S19" s="54" t="s">
        <v>69</v>
      </c>
      <c r="T19" s="44"/>
      <c r="U19" s="44"/>
      <c r="V19" s="44"/>
      <c r="W19" s="44"/>
      <c r="X19" s="44"/>
      <c r="Y19" s="60" t="str">
        <f t="shared" si="0"/>
        <v>+0</v>
      </c>
      <c r="AA19" s="57"/>
      <c r="AB19" s="58"/>
      <c r="AC19" s="38"/>
      <c r="AE19" s="38"/>
      <c r="AF19" s="38"/>
      <c r="AG19" s="38"/>
      <c r="AH19" s="38"/>
      <c r="AI19" s="38"/>
      <c r="AJ19" s="38"/>
      <c r="AK19" s="38"/>
      <c r="AL19" s="38"/>
      <c r="AM19" s="38"/>
      <c r="AN19" s="38"/>
      <c r="AO19" s="38"/>
      <c r="AP19" s="38"/>
      <c r="AQ19" s="41"/>
      <c r="AR19" s="41"/>
      <c r="AS19" s="41"/>
      <c r="AT19" s="41"/>
      <c r="AU19" s="38"/>
      <c r="AV19" s="38"/>
      <c r="AW19" s="38"/>
    </row>
    <row r="20" spans="2:59" ht="10" customHeight="1" x14ac:dyDescent="0.15">
      <c r="B20" s="34"/>
      <c r="C20" s="104"/>
      <c r="D20" s="105"/>
      <c r="E20" s="33"/>
      <c r="F20" s="33"/>
      <c r="G20" s="38"/>
      <c r="H20" s="48" t="str">
        <f>INDEX(Skills!$A$1:$K$34,9,1)</f>
        <v>Arcane Lore</v>
      </c>
      <c r="I20" s="49"/>
      <c r="J20" s="49"/>
      <c r="K20" s="49"/>
      <c r="L20" s="49"/>
      <c r="M20" s="49"/>
      <c r="N20" s="44" t="str">
        <f>INDEX(Table2[[#Headers],[#Data]],9,11)</f>
        <v>1d10 + 0</v>
      </c>
      <c r="O20" s="44"/>
      <c r="P20" s="44"/>
      <c r="Q20" s="45"/>
      <c r="R20" s="38"/>
      <c r="S20" s="54" t="s">
        <v>118</v>
      </c>
      <c r="T20" s="44"/>
      <c r="U20" s="44"/>
      <c r="V20" s="44"/>
      <c r="W20" s="44"/>
      <c r="X20" s="44"/>
      <c r="Y20" s="60" t="str">
        <f t="shared" si="0"/>
        <v>0ft</v>
      </c>
      <c r="AA20" s="57"/>
      <c r="AB20" s="58"/>
      <c r="AC20" s="38"/>
      <c r="AE20" s="38"/>
      <c r="AF20" s="38"/>
      <c r="AG20" s="38"/>
      <c r="AH20" s="38"/>
      <c r="AI20" s="38"/>
      <c r="AJ20" s="38"/>
      <c r="AK20" s="38"/>
      <c r="AL20" s="38"/>
      <c r="AM20" s="38"/>
      <c r="AN20" s="38"/>
      <c r="AO20" s="38"/>
      <c r="AP20" s="38"/>
      <c r="AQ20" s="41"/>
      <c r="AR20" s="41"/>
      <c r="AS20" s="41"/>
      <c r="AT20" s="41"/>
      <c r="AU20" s="38"/>
      <c r="AV20" s="38"/>
      <c r="AW20" s="38"/>
    </row>
    <row r="21" spans="2:59" ht="10" customHeight="1" thickBot="1" x14ac:dyDescent="0.2">
      <c r="B21" s="33"/>
      <c r="C21" s="33"/>
      <c r="D21" s="33"/>
      <c r="E21" s="33"/>
      <c r="F21" s="33"/>
      <c r="G21" s="38"/>
      <c r="H21" s="48" t="str">
        <f>INDEX(Skills!$A$1:$K$34,10,1)</f>
        <v>Religious Magic</v>
      </c>
      <c r="I21" s="49"/>
      <c r="J21" s="49"/>
      <c r="K21" s="49"/>
      <c r="L21" s="49"/>
      <c r="M21" s="49"/>
      <c r="N21" s="44" t="str">
        <f>INDEX(Table2[[#Headers],[#Data]],10,11)</f>
        <v>1d10 + 0</v>
      </c>
      <c r="O21" s="44"/>
      <c r="P21" s="44"/>
      <c r="Q21" s="45"/>
      <c r="R21" s="38"/>
      <c r="S21" s="54" t="s">
        <v>120</v>
      </c>
      <c r="T21" s="44"/>
      <c r="U21" s="44"/>
      <c r="V21" s="44"/>
      <c r="W21" s="44"/>
      <c r="X21" s="44"/>
      <c r="Y21" s="60" t="str">
        <f t="shared" si="0"/>
        <v>0%</v>
      </c>
      <c r="AA21" s="57"/>
      <c r="AB21" s="58"/>
      <c r="AC21" s="38"/>
      <c r="AE21" s="38"/>
      <c r="AF21" s="38"/>
      <c r="AG21" s="38"/>
      <c r="AH21" s="38"/>
      <c r="AI21" s="38"/>
      <c r="AJ21" s="38"/>
      <c r="AK21" s="38"/>
      <c r="AL21" s="38"/>
      <c r="AM21" s="38"/>
      <c r="AN21" s="41"/>
      <c r="AO21" s="41"/>
      <c r="AP21" s="41"/>
      <c r="AQ21" s="41"/>
      <c r="AR21" s="41"/>
      <c r="AS21" s="41"/>
      <c r="AT21" s="41"/>
      <c r="AU21" s="38"/>
      <c r="AV21" s="38"/>
      <c r="AW21" s="38"/>
      <c r="BA21" s="33"/>
      <c r="BB21" s="33"/>
      <c r="BC21" s="33"/>
      <c r="BD21" s="33"/>
      <c r="BE21" s="33"/>
      <c r="BF21" s="33"/>
      <c r="BG21" s="33"/>
    </row>
    <row r="22" spans="2:59" ht="10" customHeight="1" x14ac:dyDescent="0.15">
      <c r="B22" s="106" t="s">
        <v>32</v>
      </c>
      <c r="C22" s="107"/>
      <c r="D22" s="107"/>
      <c r="E22" s="108"/>
      <c r="F22" s="33"/>
      <c r="G22" s="38"/>
      <c r="H22" s="48" t="str">
        <f>INDEX(Skills!$A$1:$K$34,11,1)</f>
        <v>Religion</v>
      </c>
      <c r="I22" s="49"/>
      <c r="J22" s="49"/>
      <c r="K22" s="49"/>
      <c r="L22" s="49"/>
      <c r="M22" s="49"/>
      <c r="N22" s="44" t="str">
        <f>INDEX(Table2[[#Headers],[#Data]],11,11)</f>
        <v>1d10 + 0</v>
      </c>
      <c r="O22" s="44"/>
      <c r="P22" s="44"/>
      <c r="Q22" s="45"/>
      <c r="R22" s="38"/>
      <c r="S22" s="54" t="s">
        <v>121</v>
      </c>
      <c r="T22" s="44"/>
      <c r="U22" s="44"/>
      <c r="V22" s="44"/>
      <c r="W22" s="44"/>
      <c r="X22" s="44"/>
      <c r="Y22" s="60" t="str">
        <f t="shared" si="0"/>
        <v>+0</v>
      </c>
      <c r="AA22" s="57"/>
      <c r="AB22" s="58"/>
      <c r="AC22" s="38"/>
      <c r="AE22" s="38"/>
      <c r="AF22" s="38"/>
      <c r="AG22" s="38"/>
      <c r="AH22" s="38"/>
      <c r="AI22" s="38"/>
      <c r="AJ22" s="38"/>
      <c r="AK22" s="38"/>
      <c r="AL22" s="38"/>
      <c r="AM22" s="38"/>
      <c r="AN22" s="41"/>
      <c r="AO22" s="41"/>
      <c r="AP22" s="41"/>
      <c r="AQ22" s="41"/>
      <c r="AR22" s="41"/>
      <c r="AS22" s="41"/>
      <c r="AT22" s="41"/>
      <c r="AU22" s="38"/>
      <c r="AV22" s="38"/>
      <c r="AW22" s="38"/>
      <c r="BA22" s="33"/>
      <c r="BB22" s="33"/>
      <c r="BC22" s="33"/>
      <c r="BD22" s="33"/>
      <c r="BE22" s="33"/>
      <c r="BF22" s="33"/>
      <c r="BG22" s="33"/>
    </row>
    <row r="23" spans="2:59" ht="10" customHeight="1" x14ac:dyDescent="0.15">
      <c r="B23" s="99">
        <f>INU</f>
        <v>1</v>
      </c>
      <c r="C23" s="100"/>
      <c r="D23" s="100"/>
      <c r="E23" s="101"/>
      <c r="F23" s="33"/>
      <c r="G23" s="38"/>
      <c r="H23" s="48" t="str">
        <f>INDEX(Skills!$A$1:$K$34,12,1)</f>
        <v>History</v>
      </c>
      <c r="I23" s="49"/>
      <c r="J23" s="49"/>
      <c r="K23" s="49"/>
      <c r="L23" s="49"/>
      <c r="M23" s="49"/>
      <c r="N23" s="44" t="str">
        <f>INDEX(Table2[[#Headers],[#Data]],12,11)</f>
        <v>1d10 + 0</v>
      </c>
      <c r="O23" s="44"/>
      <c r="P23" s="44"/>
      <c r="Q23" s="45"/>
      <c r="R23" s="38"/>
      <c r="S23" s="54" t="s">
        <v>122</v>
      </c>
      <c r="T23" s="44"/>
      <c r="U23" s="44"/>
      <c r="V23" s="44"/>
      <c r="W23" s="44"/>
      <c r="X23" s="44"/>
      <c r="Y23" s="60" t="str">
        <f t="shared" si="0"/>
        <v>+0</v>
      </c>
      <c r="AA23" s="44"/>
      <c r="AB23" s="45"/>
      <c r="AC23" s="38"/>
      <c r="AD23" s="38"/>
      <c r="AE23" s="38"/>
      <c r="AF23" s="38"/>
      <c r="AG23" s="38"/>
      <c r="AH23" s="38"/>
      <c r="AI23" s="38"/>
      <c r="AJ23" s="38"/>
      <c r="AK23" s="38"/>
      <c r="AL23" s="38"/>
      <c r="AM23" s="38"/>
      <c r="AN23" s="38"/>
      <c r="AO23" s="38"/>
      <c r="AP23" s="38"/>
      <c r="AQ23" s="38"/>
      <c r="AR23" s="38"/>
      <c r="AS23" s="38"/>
      <c r="AT23" s="38"/>
      <c r="AU23" s="38"/>
      <c r="AV23" s="38"/>
      <c r="AW23" s="38"/>
      <c r="BA23" s="33"/>
      <c r="BB23" s="33"/>
      <c r="BC23" s="33"/>
      <c r="BD23" s="33"/>
      <c r="BE23" s="33"/>
      <c r="BF23" s="33"/>
      <c r="BG23" s="33"/>
    </row>
    <row r="24" spans="2:59" ht="10" customHeight="1" x14ac:dyDescent="0.15">
      <c r="B24" s="99"/>
      <c r="C24" s="100"/>
      <c r="D24" s="100"/>
      <c r="E24" s="101"/>
      <c r="F24" s="33"/>
      <c r="G24" s="38"/>
      <c r="H24" s="48" t="str">
        <f>INDEX(Skills!$A$1:$K$34,13,1)</f>
        <v>Animal Handler</v>
      </c>
      <c r="I24" s="49"/>
      <c r="J24" s="49"/>
      <c r="K24" s="49"/>
      <c r="L24" s="49"/>
      <c r="M24" s="49"/>
      <c r="N24" s="44" t="str">
        <f>INDEX(Table2[[#Headers],[#Data]],13,11)</f>
        <v>1d10 + 0</v>
      </c>
      <c r="O24" s="44"/>
      <c r="P24" s="44"/>
      <c r="Q24" s="45"/>
      <c r="R24" s="38"/>
      <c r="S24" s="54" t="s">
        <v>141</v>
      </c>
      <c r="T24" s="44"/>
      <c r="U24" s="44"/>
      <c r="V24" s="44"/>
      <c r="W24" s="44"/>
      <c r="X24" s="44"/>
      <c r="Y24" s="60">
        <f t="shared" si="0"/>
        <v>0</v>
      </c>
      <c r="AA24" s="44"/>
      <c r="AB24" s="45"/>
      <c r="AC24" s="38"/>
      <c r="AD24" s="38"/>
      <c r="AE24" s="38"/>
      <c r="AF24" s="38"/>
      <c r="AG24" s="38"/>
      <c r="AH24" s="38"/>
      <c r="AI24" s="38"/>
      <c r="AJ24" s="38"/>
      <c r="AK24" s="38"/>
      <c r="AL24" s="38"/>
      <c r="AM24" s="38"/>
      <c r="AN24" s="38"/>
      <c r="AO24" s="38"/>
      <c r="AP24" s="38"/>
      <c r="AQ24" s="38"/>
      <c r="AR24" s="38"/>
      <c r="AS24" s="38"/>
      <c r="AT24" s="38"/>
      <c r="AU24" s="38"/>
      <c r="AV24" s="38"/>
      <c r="AW24" s="38"/>
      <c r="BA24" s="33"/>
      <c r="BB24" s="33"/>
      <c r="BC24" s="33"/>
      <c r="BD24" s="33"/>
      <c r="BE24" s="33"/>
      <c r="BF24" s="33"/>
      <c r="BG24" s="33"/>
    </row>
    <row r="25" spans="2:59" ht="10" customHeight="1" x14ac:dyDescent="0.15">
      <c r="B25" s="99"/>
      <c r="C25" s="100"/>
      <c r="D25" s="100"/>
      <c r="E25" s="101"/>
      <c r="F25" s="33"/>
      <c r="G25" s="38"/>
      <c r="H25" s="48" t="str">
        <f>INDEX(Skills!$A$1:$K$34,14,1)</f>
        <v>Insight</v>
      </c>
      <c r="I25" s="49"/>
      <c r="J25" s="49"/>
      <c r="K25" s="49"/>
      <c r="L25" s="49"/>
      <c r="M25" s="49"/>
      <c r="N25" s="44" t="str">
        <f>INDEX(Table2[[#Headers],[#Data]],14,11)</f>
        <v>1d10 + 0</v>
      </c>
      <c r="O25" s="44"/>
      <c r="P25" s="44"/>
      <c r="Q25" s="45"/>
      <c r="R25" s="38"/>
      <c r="S25" s="54" t="s">
        <v>159</v>
      </c>
      <c r="T25" s="44"/>
      <c r="U25" s="44"/>
      <c r="V25" s="44"/>
      <c r="W25" s="44"/>
      <c r="X25" s="44"/>
      <c r="Y25" s="60" t="str">
        <f t="shared" si="0"/>
        <v>0</v>
      </c>
      <c r="AA25" s="44"/>
      <c r="AB25" s="45"/>
      <c r="AC25" s="38"/>
      <c r="AD25" s="38"/>
      <c r="AE25" s="38"/>
      <c r="AF25" s="38"/>
      <c r="AG25" s="38"/>
      <c r="AH25" s="38"/>
      <c r="AI25" s="38"/>
      <c r="AJ25" s="38"/>
      <c r="AK25" s="38"/>
      <c r="AL25" s="38"/>
      <c r="AM25" s="38"/>
      <c r="AN25" s="38"/>
      <c r="AO25" s="38"/>
      <c r="AP25" s="38"/>
      <c r="AQ25" s="38"/>
      <c r="AR25" s="38"/>
      <c r="AS25" s="38"/>
      <c r="AT25" s="38"/>
      <c r="AU25" s="38"/>
      <c r="AV25" s="38"/>
      <c r="AW25" s="38"/>
      <c r="BA25" s="33"/>
      <c r="BB25" s="33"/>
      <c r="BC25" s="33"/>
      <c r="BD25" s="33"/>
      <c r="BE25" s="33"/>
      <c r="BF25" s="33"/>
      <c r="BG25" s="33"/>
    </row>
    <row r="26" spans="2:59" ht="10" customHeight="1" thickBot="1" x14ac:dyDescent="0.25">
      <c r="B26" s="35"/>
      <c r="C26" s="102">
        <f>INU_TOTAL</f>
        <v>5</v>
      </c>
      <c r="D26" s="103"/>
      <c r="E26" s="36"/>
      <c r="F26" s="33"/>
      <c r="G26" s="38"/>
      <c r="H26" s="48" t="str">
        <f>INDEX(Skills!$A$1:$K$34,15,1)</f>
        <v>Slight of Hand</v>
      </c>
      <c r="I26" s="49"/>
      <c r="J26" s="49"/>
      <c r="K26" s="49"/>
      <c r="L26" s="49"/>
      <c r="M26" s="49"/>
      <c r="N26" s="44" t="str">
        <f>INDEX(Table2[[#Headers],[#Data]],15,11)</f>
        <v>1d10 + 0</v>
      </c>
      <c r="O26" s="44"/>
      <c r="P26" s="44"/>
      <c r="Q26" s="45"/>
      <c r="R26" s="38"/>
      <c r="S26" s="59" t="s">
        <v>212</v>
      </c>
      <c r="T26" s="44"/>
      <c r="U26" s="44"/>
      <c r="V26" s="44"/>
      <c r="W26" s="44"/>
      <c r="X26" s="44"/>
      <c r="Y26" s="60">
        <f t="shared" si="0"/>
        <v>0</v>
      </c>
      <c r="Z26" s="44"/>
      <c r="AA26" s="44"/>
      <c r="AB26" s="45"/>
      <c r="AC26" s="38"/>
      <c r="AD26" s="38"/>
      <c r="AE26" s="38"/>
      <c r="AF26" s="38"/>
      <c r="AG26" s="38"/>
      <c r="AH26" s="38"/>
      <c r="AI26" s="38"/>
      <c r="AJ26" s="38"/>
      <c r="AK26" s="38"/>
      <c r="AL26" s="38"/>
      <c r="AM26" s="38"/>
      <c r="AN26" s="38"/>
      <c r="AO26" s="38"/>
      <c r="AP26" s="38"/>
      <c r="AQ26" s="38"/>
      <c r="AR26" s="38"/>
      <c r="AS26" s="38"/>
      <c r="AT26" s="38"/>
      <c r="AU26" s="38"/>
      <c r="AV26" s="38"/>
      <c r="AW26" s="38"/>
      <c r="BA26" s="33"/>
      <c r="BB26" s="33"/>
      <c r="BC26" s="73"/>
      <c r="BD26" s="33"/>
      <c r="BE26" s="33"/>
      <c r="BF26" s="33"/>
      <c r="BG26" s="33"/>
    </row>
    <row r="27" spans="2:59" ht="10" customHeight="1" x14ac:dyDescent="0.2">
      <c r="B27" s="34"/>
      <c r="C27" s="104"/>
      <c r="D27" s="105"/>
      <c r="E27" s="33"/>
      <c r="F27" s="33"/>
      <c r="G27" s="38"/>
      <c r="H27" s="48" t="str">
        <f>INDEX(Skills!$A$1:$K$34,16,1)</f>
        <v>Deception</v>
      </c>
      <c r="I27" s="49"/>
      <c r="J27" s="49"/>
      <c r="K27" s="49"/>
      <c r="L27" s="49"/>
      <c r="M27" s="49"/>
      <c r="N27" s="44" t="str">
        <f>INDEX(Table2[[#Headers],[#Data]],16,11)</f>
        <v>1d10 + 0</v>
      </c>
      <c r="O27" s="44"/>
      <c r="P27" s="44"/>
      <c r="Q27" s="45"/>
      <c r="R27" s="38"/>
      <c r="S27" s="59"/>
      <c r="T27" s="44"/>
      <c r="U27" s="44"/>
      <c r="V27" s="44"/>
      <c r="W27" s="44"/>
      <c r="X27" s="44"/>
      <c r="Y27" s="44"/>
      <c r="Z27" s="44"/>
      <c r="AA27" s="44"/>
      <c r="AB27" s="45"/>
      <c r="AC27" s="38"/>
      <c r="AD27" s="38"/>
      <c r="AE27" s="38"/>
      <c r="AF27" s="38"/>
      <c r="AG27" s="38"/>
      <c r="AH27" s="38"/>
      <c r="AI27" s="38"/>
      <c r="AJ27" s="38"/>
      <c r="AK27" s="38"/>
      <c r="AL27" s="38"/>
      <c r="AM27" s="38"/>
      <c r="AN27" s="38"/>
      <c r="AO27" s="38"/>
      <c r="AP27" s="38"/>
      <c r="AQ27" s="38"/>
      <c r="AR27" s="38"/>
      <c r="AS27" s="38"/>
      <c r="AT27" s="38"/>
      <c r="AU27" s="38"/>
      <c r="AV27" s="38"/>
      <c r="AW27" s="38"/>
      <c r="BA27" s="33"/>
      <c r="BB27" s="33"/>
      <c r="BC27" s="33"/>
      <c r="BD27" s="73"/>
      <c r="BE27" s="33"/>
      <c r="BF27" s="33"/>
      <c r="BG27" s="33"/>
    </row>
    <row r="28" spans="2:59" ht="10" customHeight="1" thickBot="1" x14ac:dyDescent="0.25">
      <c r="B28" s="34"/>
      <c r="C28" s="34"/>
      <c r="D28" s="33"/>
      <c r="E28" s="33"/>
      <c r="F28" s="33"/>
      <c r="G28" s="38"/>
      <c r="H28" s="48" t="str">
        <f>INDEX(Skills!$A$1:$K$34,17,1)</f>
        <v>Charm</v>
      </c>
      <c r="I28" s="49"/>
      <c r="J28" s="49"/>
      <c r="K28" s="49"/>
      <c r="L28" s="49"/>
      <c r="M28" s="49"/>
      <c r="N28" s="44" t="str">
        <f>INDEX(Table2[[#Headers],[#Data]],17,11)</f>
        <v>1d10 + 0</v>
      </c>
      <c r="O28" s="44"/>
      <c r="P28" s="44"/>
      <c r="Q28" s="45"/>
      <c r="R28" s="38"/>
      <c r="S28" s="90" t="s">
        <v>63</v>
      </c>
      <c r="T28" s="91"/>
      <c r="U28" s="91"/>
      <c r="V28" s="91"/>
      <c r="W28" s="91"/>
      <c r="X28" s="91"/>
      <c r="Y28" s="91"/>
      <c r="Z28" s="91"/>
      <c r="AA28" s="91"/>
      <c r="AB28" s="92"/>
      <c r="AC28" s="38"/>
      <c r="AD28" s="38"/>
      <c r="AE28" s="38"/>
      <c r="AF28" s="38"/>
      <c r="AG28" s="38"/>
      <c r="AH28" s="38"/>
      <c r="AI28" s="38"/>
      <c r="AJ28" s="38"/>
      <c r="AK28" s="38"/>
      <c r="AL28" s="38"/>
      <c r="AM28" s="38"/>
      <c r="AN28" s="38"/>
      <c r="AO28" s="38"/>
      <c r="AP28" s="38"/>
      <c r="AQ28" s="38"/>
      <c r="AR28" s="38"/>
      <c r="AS28" s="38"/>
      <c r="AT28" s="38"/>
      <c r="AU28" s="38"/>
      <c r="AV28" s="38"/>
      <c r="AW28" s="38"/>
      <c r="BA28" s="33"/>
      <c r="BB28" s="33"/>
      <c r="BC28" s="33"/>
      <c r="BD28" s="33"/>
      <c r="BE28" s="33"/>
      <c r="BF28" s="33"/>
      <c r="BG28" s="33"/>
    </row>
    <row r="29" spans="2:59" ht="10" customHeight="1" x14ac:dyDescent="0.2">
      <c r="B29" s="106" t="s">
        <v>54</v>
      </c>
      <c r="C29" s="107"/>
      <c r="D29" s="107"/>
      <c r="E29" s="108"/>
      <c r="G29" s="38"/>
      <c r="H29" s="48" t="str">
        <f>INDEX(Skills!$A$1:$K$34,18,1)</f>
        <v>Interrogate</v>
      </c>
      <c r="I29" s="49"/>
      <c r="J29" s="49"/>
      <c r="K29" s="49"/>
      <c r="L29" s="49"/>
      <c r="M29" s="49"/>
      <c r="N29" s="44" t="str">
        <f>INDEX(Table2[[#Headers],[#Data]],18,11)</f>
        <v>1d10 + 0</v>
      </c>
      <c r="O29" s="44"/>
      <c r="P29" s="44"/>
      <c r="Q29" s="45"/>
      <c r="R29" s="38"/>
      <c r="S29" s="38"/>
      <c r="T29" s="38"/>
      <c r="U29" s="38"/>
      <c r="V29" s="38"/>
      <c r="W29" s="38"/>
      <c r="X29" s="38"/>
      <c r="Y29" s="76"/>
      <c r="Z29" s="38"/>
      <c r="AA29" s="38"/>
      <c r="AB29" s="38"/>
      <c r="AC29" s="38"/>
      <c r="AD29" s="38"/>
      <c r="AE29" s="38"/>
      <c r="AF29" s="38"/>
      <c r="AG29" s="38"/>
      <c r="AH29" s="38"/>
      <c r="AI29" s="38"/>
      <c r="AJ29" s="38"/>
      <c r="AK29" s="38"/>
      <c r="AL29" s="38"/>
      <c r="AM29" s="38"/>
      <c r="AN29" s="38"/>
      <c r="AO29" s="38"/>
      <c r="AP29" s="38"/>
      <c r="AQ29" s="38"/>
      <c r="AR29" s="38"/>
      <c r="AS29" s="38"/>
      <c r="AT29" s="38"/>
      <c r="AU29" s="38"/>
      <c r="AV29" s="38"/>
      <c r="AW29" s="38"/>
      <c r="BA29" s="33"/>
      <c r="BB29" s="33"/>
      <c r="BC29" s="33"/>
      <c r="BD29" s="33"/>
      <c r="BE29" s="33"/>
      <c r="BF29" s="33"/>
      <c r="BG29" s="33"/>
    </row>
    <row r="30" spans="2:59" ht="10" customHeight="1" x14ac:dyDescent="0.15">
      <c r="B30" s="99">
        <f>CHA</f>
        <v>1</v>
      </c>
      <c r="C30" s="100"/>
      <c r="D30" s="100"/>
      <c r="E30" s="101"/>
      <c r="G30" s="38"/>
      <c r="H30" s="48" t="str">
        <f>INDEX(Skills!$A$1:$K$34,19,1)</f>
        <v>Torture</v>
      </c>
      <c r="I30" s="49"/>
      <c r="J30" s="49"/>
      <c r="K30" s="49"/>
      <c r="L30" s="49"/>
      <c r="M30" s="49"/>
      <c r="N30" s="44" t="str">
        <f>INDEX(Table2[[#Headers],[#Data]],19,11)</f>
        <v>1d10 + 0</v>
      </c>
      <c r="O30" s="44"/>
      <c r="P30" s="44"/>
      <c r="Q30" s="45"/>
      <c r="R30" s="38"/>
      <c r="S30" s="62" t="s">
        <v>176</v>
      </c>
      <c r="T30" s="63"/>
      <c r="U30" s="63"/>
      <c r="V30" s="63"/>
      <c r="W30" s="64" t="s">
        <v>37</v>
      </c>
      <c r="X30" s="63"/>
      <c r="Y30" s="75" t="str">
        <f t="shared" ref="Y30:Y38" si="1">INDEX(RESISTANCES,ROW(A2),11)</f>
        <v>1d10 + 0</v>
      </c>
      <c r="Z30" s="63"/>
      <c r="AA30" s="63"/>
      <c r="AB30" s="65"/>
      <c r="AC30" s="38"/>
      <c r="AD30" s="38"/>
      <c r="AE30" s="38"/>
      <c r="AF30" s="38"/>
      <c r="AG30" s="38"/>
      <c r="AH30" s="38"/>
      <c r="AI30" s="38"/>
      <c r="AJ30" s="38"/>
      <c r="AK30" s="38"/>
      <c r="AL30" s="38"/>
      <c r="AM30" s="38"/>
      <c r="AN30" s="38"/>
      <c r="AO30" s="38"/>
      <c r="AP30" s="38"/>
      <c r="AQ30" s="38"/>
      <c r="AR30" s="38"/>
      <c r="AS30" s="38"/>
      <c r="AT30" s="38"/>
      <c r="AU30" s="38"/>
      <c r="AV30" s="38"/>
      <c r="AW30" s="38"/>
      <c r="BA30" s="33"/>
      <c r="BB30" s="33"/>
      <c r="BC30" s="73"/>
      <c r="BD30" s="33"/>
      <c r="BE30" s="33"/>
      <c r="BF30" s="33"/>
      <c r="BG30" s="33"/>
    </row>
    <row r="31" spans="2:59" ht="10" customHeight="1" x14ac:dyDescent="0.15">
      <c r="B31" s="99"/>
      <c r="C31" s="100"/>
      <c r="D31" s="100"/>
      <c r="E31" s="101"/>
      <c r="G31" s="38"/>
      <c r="H31" s="48" t="str">
        <f>INDEX(Skills!$A$1:$K$34,20,1)</f>
        <v>Inspire</v>
      </c>
      <c r="I31" s="49"/>
      <c r="J31" s="49"/>
      <c r="K31" s="49"/>
      <c r="L31" s="49"/>
      <c r="M31" s="49"/>
      <c r="N31" s="44" t="str">
        <f>INDEX(Table2[[#Headers],[#Data]],20,11)</f>
        <v>1d10 + 0</v>
      </c>
      <c r="O31" s="44"/>
      <c r="P31" s="44"/>
      <c r="Q31" s="45"/>
      <c r="R31" s="38"/>
      <c r="S31" s="66" t="s">
        <v>177</v>
      </c>
      <c r="T31" s="67"/>
      <c r="U31" s="67"/>
      <c r="V31" s="67"/>
      <c r="W31" s="68" t="s">
        <v>36</v>
      </c>
      <c r="X31" s="67"/>
      <c r="Y31" s="75" t="str">
        <f t="shared" si="1"/>
        <v>1d10 + 0</v>
      </c>
      <c r="Z31" s="67"/>
      <c r="AA31" s="67"/>
      <c r="AB31" s="69"/>
      <c r="AC31" s="38"/>
      <c r="AD31" s="38"/>
      <c r="AE31" s="38"/>
      <c r="AF31" s="38"/>
      <c r="AG31" s="38"/>
      <c r="AH31" s="38"/>
      <c r="AI31" s="38"/>
      <c r="AJ31" s="38"/>
      <c r="AK31" s="38"/>
      <c r="AL31" s="38"/>
      <c r="AM31" s="38"/>
      <c r="AN31" s="38"/>
      <c r="AO31" s="38"/>
      <c r="AP31" s="38"/>
      <c r="AQ31" s="38"/>
      <c r="AR31" s="38"/>
      <c r="AS31" s="38"/>
      <c r="AT31" s="38"/>
      <c r="AU31" s="38"/>
      <c r="AV31" s="38"/>
      <c r="AW31" s="38"/>
      <c r="BA31" s="33"/>
      <c r="BB31" s="33"/>
      <c r="BC31" s="33"/>
      <c r="BD31" s="33"/>
      <c r="BE31" s="33"/>
      <c r="BF31" s="33"/>
      <c r="BG31" s="33"/>
    </row>
    <row r="32" spans="2:59" ht="10" customHeight="1" x14ac:dyDescent="0.15">
      <c r="B32" s="99"/>
      <c r="C32" s="100"/>
      <c r="D32" s="100"/>
      <c r="E32" s="101"/>
      <c r="G32" s="38"/>
      <c r="H32" s="48" t="str">
        <f>INDEX(Skills!$A$1:$K$34,21,1)</f>
        <v>Stealth</v>
      </c>
      <c r="I32" s="49"/>
      <c r="J32" s="49"/>
      <c r="K32" s="49"/>
      <c r="L32" s="49"/>
      <c r="M32" s="49"/>
      <c r="N32" s="44" t="str">
        <f>INDEX(Table2[[#Headers],[#Data]],21,11)</f>
        <v>1d10 + 0</v>
      </c>
      <c r="O32" s="44"/>
      <c r="P32" s="44"/>
      <c r="Q32" s="45"/>
      <c r="R32" s="38"/>
      <c r="S32" s="66" t="s">
        <v>172</v>
      </c>
      <c r="T32" s="67"/>
      <c r="U32" s="67"/>
      <c r="V32" s="67"/>
      <c r="W32" s="68" t="s">
        <v>55</v>
      </c>
      <c r="X32" s="67"/>
      <c r="Y32" s="75" t="str">
        <f t="shared" si="1"/>
        <v>1d10 + 0</v>
      </c>
      <c r="Z32" s="67"/>
      <c r="AA32" s="67"/>
      <c r="AB32" s="69"/>
      <c r="AC32" s="38"/>
      <c r="AD32" s="38"/>
      <c r="AE32" s="38"/>
      <c r="AF32" s="38"/>
      <c r="AG32" s="38"/>
      <c r="AH32" s="38"/>
      <c r="AI32" s="38"/>
      <c r="AJ32" s="38"/>
      <c r="AK32" s="38"/>
      <c r="AL32" s="38"/>
      <c r="AM32" s="38"/>
      <c r="AN32" s="38"/>
      <c r="AO32" s="38"/>
      <c r="AP32" s="38"/>
      <c r="AQ32" s="38"/>
      <c r="AR32" s="38"/>
      <c r="AS32" s="38"/>
      <c r="AT32" s="38"/>
      <c r="AU32" s="38"/>
      <c r="AV32" s="38"/>
      <c r="AW32" s="38"/>
      <c r="BA32" s="33"/>
      <c r="BB32" s="33"/>
      <c r="BC32" s="33"/>
      <c r="BD32" s="33"/>
      <c r="BE32" s="33"/>
      <c r="BF32" s="33"/>
      <c r="BG32" s="33"/>
    </row>
    <row r="33" spans="2:59" ht="10" customHeight="1" thickBot="1" x14ac:dyDescent="0.2">
      <c r="B33" s="35"/>
      <c r="C33" s="102">
        <f>CHA_TOTAL</f>
        <v>5</v>
      </c>
      <c r="D33" s="103"/>
      <c r="E33" s="36"/>
      <c r="G33" s="38"/>
      <c r="H33" s="48" t="str">
        <f>INDEX(Skills!$A$1:$K$34,22,1)</f>
        <v>Guard</v>
      </c>
      <c r="I33" s="49"/>
      <c r="J33" s="49"/>
      <c r="K33" s="49"/>
      <c r="L33" s="49"/>
      <c r="M33" s="49"/>
      <c r="N33" s="44" t="str">
        <f>INDEX(Table2[[#Headers],[#Data]],22,11)</f>
        <v>1d10 + 0</v>
      </c>
      <c r="O33" s="44"/>
      <c r="P33" s="44"/>
      <c r="Q33" s="45"/>
      <c r="R33" s="38"/>
      <c r="S33" s="66" t="s">
        <v>171</v>
      </c>
      <c r="T33" s="67"/>
      <c r="U33" s="67"/>
      <c r="V33" s="67"/>
      <c r="W33" s="68" t="s">
        <v>36</v>
      </c>
      <c r="X33" s="67"/>
      <c r="Y33" s="75" t="str">
        <f t="shared" si="1"/>
        <v>1d10 + 0</v>
      </c>
      <c r="Z33" s="67"/>
      <c r="AA33" s="67"/>
      <c r="AB33" s="69"/>
      <c r="AC33" s="38"/>
      <c r="AD33" s="38"/>
      <c r="AE33" s="38"/>
      <c r="AF33" s="38"/>
      <c r="AG33" s="38"/>
      <c r="AH33" s="38"/>
      <c r="AI33" s="38"/>
      <c r="AJ33" s="38"/>
      <c r="AK33" s="38"/>
      <c r="AL33" s="38"/>
      <c r="AM33" s="38"/>
      <c r="AN33" s="38"/>
      <c r="AO33" s="38"/>
      <c r="AP33" s="38"/>
      <c r="AQ33" s="38"/>
      <c r="AR33" s="38"/>
      <c r="AS33" s="38"/>
      <c r="AT33" s="38"/>
      <c r="AU33" s="38"/>
      <c r="AV33" s="38"/>
      <c r="AW33" s="38"/>
      <c r="BA33" s="33"/>
      <c r="BB33" s="33"/>
      <c r="BC33" s="33"/>
      <c r="BD33" s="33"/>
      <c r="BE33" s="33"/>
      <c r="BF33" s="33"/>
      <c r="BG33" s="33"/>
    </row>
    <row r="34" spans="2:59" ht="10" customHeight="1" x14ac:dyDescent="0.15">
      <c r="B34" s="34"/>
      <c r="C34" s="104"/>
      <c r="D34" s="105"/>
      <c r="E34" s="33"/>
      <c r="G34" s="38"/>
      <c r="H34" s="48" t="str">
        <f>INDEX(Skills!$A$1:$K$34,23,1)</f>
        <v>Law</v>
      </c>
      <c r="I34" s="49"/>
      <c r="J34" s="49"/>
      <c r="K34" s="49"/>
      <c r="L34" s="49"/>
      <c r="M34" s="49"/>
      <c r="N34" s="44" t="str">
        <f>INDEX(Table2[[#Headers],[#Data]],23,11)</f>
        <v>1d10 + 0</v>
      </c>
      <c r="O34" s="44"/>
      <c r="P34" s="44"/>
      <c r="Q34" s="45"/>
      <c r="R34" s="38"/>
      <c r="S34" s="66" t="s">
        <v>173</v>
      </c>
      <c r="T34" s="67"/>
      <c r="U34" s="67"/>
      <c r="V34" s="67"/>
      <c r="W34" s="68" t="s">
        <v>39</v>
      </c>
      <c r="X34" s="67"/>
      <c r="Y34" s="75" t="str">
        <f t="shared" si="1"/>
        <v>1d10 + 0</v>
      </c>
      <c r="Z34" s="67"/>
      <c r="AA34" s="67"/>
      <c r="AB34" s="69"/>
      <c r="AC34" s="38"/>
      <c r="AD34" s="38"/>
      <c r="AE34" s="38"/>
      <c r="AF34" s="38"/>
      <c r="AG34" s="38"/>
      <c r="AH34" s="38"/>
      <c r="AI34" s="38"/>
      <c r="AJ34" s="38"/>
      <c r="AK34" s="38"/>
      <c r="AL34" s="38"/>
      <c r="AM34" s="38"/>
      <c r="AN34" s="38"/>
      <c r="AO34" s="38"/>
      <c r="AP34" s="38"/>
      <c r="AQ34" s="38"/>
      <c r="AR34" s="38"/>
      <c r="AS34" s="38"/>
      <c r="AT34" s="38"/>
      <c r="AU34" s="38"/>
      <c r="AV34" s="38"/>
      <c r="AW34" s="38"/>
      <c r="BA34" s="33"/>
      <c r="BB34" s="33"/>
      <c r="BC34" s="33"/>
      <c r="BD34" s="33"/>
      <c r="BE34" s="33"/>
      <c r="BF34" s="33"/>
      <c r="BG34" s="33"/>
    </row>
    <row r="35" spans="2:59" ht="10" customHeight="1" thickBot="1" x14ac:dyDescent="0.2">
      <c r="G35" s="38"/>
      <c r="H35" s="48" t="str">
        <f>INDEX(Skills!$A$1:$K$34,24,1)</f>
        <v>Culture</v>
      </c>
      <c r="I35" s="49"/>
      <c r="J35" s="49"/>
      <c r="K35" s="49"/>
      <c r="L35" s="49"/>
      <c r="M35" s="49"/>
      <c r="N35" s="44" t="str">
        <f>INDEX(Table2[[#Headers],[#Data]],24,11)</f>
        <v>1d10 + 0</v>
      </c>
      <c r="O35" s="44"/>
      <c r="P35" s="44"/>
      <c r="Q35" s="45"/>
      <c r="R35" s="38"/>
      <c r="S35" s="66" t="s">
        <v>174</v>
      </c>
      <c r="T35" s="67"/>
      <c r="U35" s="67"/>
      <c r="V35" s="67"/>
      <c r="W35" s="68" t="s">
        <v>36</v>
      </c>
      <c r="X35" s="67"/>
      <c r="Y35" s="75" t="str">
        <f t="shared" si="1"/>
        <v>1d10 + 0</v>
      </c>
      <c r="Z35" s="67"/>
      <c r="AA35" s="67"/>
      <c r="AB35" s="69"/>
      <c r="AC35" s="38"/>
      <c r="AD35" s="38"/>
      <c r="AE35" s="38"/>
      <c r="AF35" s="38"/>
      <c r="AG35" s="38"/>
      <c r="AH35" s="38"/>
      <c r="AI35" s="38"/>
      <c r="AJ35" s="38"/>
      <c r="AK35" s="38"/>
      <c r="AL35" s="38"/>
      <c r="AM35" s="38"/>
      <c r="AN35" s="38"/>
      <c r="AO35" s="38"/>
      <c r="AP35" s="38"/>
      <c r="AQ35" s="38"/>
      <c r="AR35" s="38"/>
      <c r="AS35" s="38"/>
      <c r="AT35" s="38"/>
      <c r="AU35" s="38"/>
      <c r="AV35" s="38"/>
      <c r="AW35" s="38"/>
      <c r="BA35" s="33"/>
      <c r="BB35" s="33"/>
      <c r="BC35" s="33"/>
      <c r="BD35" s="33"/>
      <c r="BE35" s="33"/>
      <c r="BF35" s="33"/>
      <c r="BG35" s="33"/>
    </row>
    <row r="36" spans="2:59" ht="10" customHeight="1" x14ac:dyDescent="0.15">
      <c r="B36" s="106" t="s">
        <v>33</v>
      </c>
      <c r="C36" s="107"/>
      <c r="D36" s="107"/>
      <c r="E36" s="108"/>
      <c r="G36" s="38"/>
      <c r="H36" s="48" t="str">
        <f>INDEX(Skills!$A$1:$K$34,25,1)</f>
        <v>Concoct Poison</v>
      </c>
      <c r="I36" s="49"/>
      <c r="J36" s="49"/>
      <c r="K36" s="49"/>
      <c r="L36" s="49"/>
      <c r="M36" s="49"/>
      <c r="N36" s="44" t="str">
        <f>INDEX(Table2[[#Headers],[#Data]],25,11)</f>
        <v>1d10 + 0</v>
      </c>
      <c r="O36" s="44"/>
      <c r="P36" s="44"/>
      <c r="Q36" s="45"/>
      <c r="R36" s="38"/>
      <c r="S36" s="66" t="s">
        <v>175</v>
      </c>
      <c r="T36" s="67"/>
      <c r="U36" s="67"/>
      <c r="V36" s="67"/>
      <c r="W36" s="68" t="s">
        <v>36</v>
      </c>
      <c r="X36" s="67"/>
      <c r="Y36" s="75" t="str">
        <f t="shared" si="1"/>
        <v>1d10 + 0</v>
      </c>
      <c r="Z36" s="67"/>
      <c r="AA36" s="67"/>
      <c r="AB36" s="69"/>
      <c r="AC36" s="38"/>
      <c r="AD36" s="38"/>
      <c r="AE36" s="38"/>
      <c r="AF36" s="38"/>
      <c r="AG36" s="38"/>
      <c r="AH36" s="38"/>
      <c r="AI36" s="38"/>
      <c r="AJ36" s="38"/>
      <c r="AK36" s="38"/>
      <c r="AL36" s="38"/>
      <c r="AM36" s="38"/>
      <c r="AN36" s="38"/>
      <c r="AO36" s="38"/>
      <c r="AP36" s="38"/>
      <c r="AQ36" s="38"/>
      <c r="AR36" s="38"/>
      <c r="AS36" s="38"/>
      <c r="AT36" s="38"/>
      <c r="AU36" s="38"/>
      <c r="AV36" s="38"/>
      <c r="AW36" s="38"/>
      <c r="BA36" s="33"/>
      <c r="BB36" s="33"/>
      <c r="BC36" s="33"/>
      <c r="BD36" s="33"/>
      <c r="BE36" s="33"/>
      <c r="BF36" s="33"/>
      <c r="BG36" s="33"/>
    </row>
    <row r="37" spans="2:59" ht="10" customHeight="1" x14ac:dyDescent="0.15">
      <c r="B37" s="99">
        <f>PER</f>
        <v>1</v>
      </c>
      <c r="C37" s="100"/>
      <c r="D37" s="100"/>
      <c r="E37" s="101"/>
      <c r="G37" s="38"/>
      <c r="H37" s="48" t="str">
        <f>INDEX(Skills!$A$1:$K$34,26,1)</f>
        <v>Medicine</v>
      </c>
      <c r="I37" s="49"/>
      <c r="J37" s="49"/>
      <c r="K37" s="49"/>
      <c r="L37" s="49"/>
      <c r="M37" s="49"/>
      <c r="N37" s="44" t="str">
        <f>INDEX(Table2[[#Headers],[#Data]],26,11)</f>
        <v>1d10 + 0</v>
      </c>
      <c r="O37" s="44"/>
      <c r="P37" s="44"/>
      <c r="Q37" s="45"/>
      <c r="R37" s="38"/>
      <c r="S37" s="66" t="s">
        <v>178</v>
      </c>
      <c r="T37" s="67"/>
      <c r="U37" s="67"/>
      <c r="V37" s="67"/>
      <c r="W37" s="68" t="s">
        <v>39</v>
      </c>
      <c r="X37" s="67"/>
      <c r="Y37" s="75" t="str">
        <f t="shared" si="1"/>
        <v>1d10 + 0</v>
      </c>
      <c r="Z37" s="67"/>
      <c r="AA37" s="67"/>
      <c r="AB37" s="69"/>
      <c r="AC37" s="38"/>
      <c r="AD37" s="38"/>
      <c r="AE37" s="38"/>
      <c r="AF37" s="38"/>
      <c r="AG37" s="38"/>
      <c r="AH37" s="38"/>
      <c r="AI37" s="38"/>
      <c r="AJ37" s="38"/>
      <c r="AK37" s="38"/>
      <c r="AL37" s="38"/>
      <c r="AM37" s="38"/>
      <c r="AN37" s="38"/>
      <c r="AO37" s="38"/>
      <c r="AP37" s="38"/>
      <c r="AQ37" s="38"/>
      <c r="AR37" s="38"/>
      <c r="AS37" s="38"/>
      <c r="AT37" s="38"/>
      <c r="AU37" s="38"/>
      <c r="AV37" s="38"/>
      <c r="AW37" s="38"/>
      <c r="BA37" s="33"/>
      <c r="BB37" s="33"/>
      <c r="BC37" s="33"/>
      <c r="BD37" s="33"/>
      <c r="BE37" s="33"/>
      <c r="BF37" s="33"/>
      <c r="BG37" s="33"/>
    </row>
    <row r="38" spans="2:59" ht="10" customHeight="1" x14ac:dyDescent="0.15">
      <c r="B38" s="99"/>
      <c r="C38" s="100"/>
      <c r="D38" s="100"/>
      <c r="E38" s="101"/>
      <c r="G38" s="38"/>
      <c r="H38" s="48" t="str">
        <f>INDEX(Skills!$A$1:$K$34,27,1)</f>
        <v>Language</v>
      </c>
      <c r="I38" s="49"/>
      <c r="J38" s="49"/>
      <c r="K38" s="49"/>
      <c r="L38" s="49"/>
      <c r="M38" s="49"/>
      <c r="N38" s="44" t="str">
        <f>INDEX(Table2[[#Headers],[#Data]],27,11)</f>
        <v>1d10 + 0</v>
      </c>
      <c r="O38" s="44"/>
      <c r="P38" s="44"/>
      <c r="Q38" s="45"/>
      <c r="R38" s="38"/>
      <c r="S38" s="66" t="s">
        <v>179</v>
      </c>
      <c r="T38" s="67"/>
      <c r="U38" s="67"/>
      <c r="V38" s="67"/>
      <c r="W38" s="68" t="s">
        <v>38</v>
      </c>
      <c r="X38" s="67"/>
      <c r="Y38" s="75" t="str">
        <f t="shared" si="1"/>
        <v>1d10 + 0</v>
      </c>
      <c r="Z38" s="67"/>
      <c r="AA38" s="67"/>
      <c r="AB38" s="69"/>
      <c r="AC38" s="38"/>
      <c r="AD38" s="38"/>
      <c r="AE38" s="38"/>
      <c r="AF38" s="38"/>
      <c r="AG38" s="38"/>
      <c r="AH38" s="38"/>
      <c r="AI38" s="38"/>
      <c r="AJ38" s="38"/>
      <c r="AK38" s="38"/>
      <c r="AL38" s="38"/>
      <c r="AM38" s="38"/>
      <c r="AN38" s="38"/>
      <c r="AO38" s="38"/>
      <c r="AP38" s="38"/>
      <c r="AQ38" s="38"/>
      <c r="AR38" s="38"/>
      <c r="AS38" s="38"/>
      <c r="AT38" s="38"/>
      <c r="AU38" s="38"/>
      <c r="AV38" s="38"/>
      <c r="AW38" s="38"/>
      <c r="BA38" s="33"/>
      <c r="BB38" s="33"/>
      <c r="BC38" s="33"/>
      <c r="BD38" s="33"/>
      <c r="BE38" s="33"/>
      <c r="BF38" s="33"/>
      <c r="BG38" s="33"/>
    </row>
    <row r="39" spans="2:59" ht="10" customHeight="1" x14ac:dyDescent="0.2">
      <c r="B39" s="99"/>
      <c r="C39" s="100"/>
      <c r="D39" s="100"/>
      <c r="E39" s="101"/>
      <c r="G39" s="38"/>
      <c r="H39" s="48" t="str">
        <f>INDEX(Skills!$A$1:$K$34,28,1)</f>
        <v>Culture</v>
      </c>
      <c r="I39" s="49"/>
      <c r="J39" s="49"/>
      <c r="K39" s="49"/>
      <c r="L39" s="49"/>
      <c r="M39" s="49"/>
      <c r="N39" s="44" t="str">
        <f>INDEX(Table2[[#Headers],[#Data]],28,11)</f>
        <v>1d10 + 0</v>
      </c>
      <c r="O39" s="44"/>
      <c r="P39" s="44"/>
      <c r="Q39" s="45"/>
      <c r="R39" s="38"/>
      <c r="S39" s="70"/>
      <c r="T39" s="71"/>
      <c r="U39" s="71"/>
      <c r="V39" s="71"/>
      <c r="W39" s="71"/>
      <c r="X39" s="71"/>
      <c r="Y39" s="71"/>
      <c r="Z39" s="71"/>
      <c r="AA39" s="71"/>
      <c r="AB39" s="72"/>
      <c r="AC39" s="38"/>
      <c r="AD39" s="38"/>
      <c r="AE39" s="38"/>
      <c r="AF39" s="38"/>
      <c r="AG39" s="38"/>
      <c r="AH39" s="38"/>
      <c r="AI39" s="38"/>
      <c r="AJ39" s="38"/>
      <c r="AK39" s="38"/>
      <c r="AL39" s="38"/>
      <c r="AM39" s="38"/>
      <c r="AN39" s="38"/>
      <c r="AO39" s="38"/>
      <c r="AP39" s="38"/>
      <c r="AQ39" s="38"/>
      <c r="AR39" s="38"/>
      <c r="AS39" s="38"/>
      <c r="AT39" s="38"/>
      <c r="AU39" s="38"/>
      <c r="AV39" s="38"/>
      <c r="AW39" s="38"/>
      <c r="BA39" s="33"/>
      <c r="BB39" s="33"/>
      <c r="BC39" s="33"/>
      <c r="BD39" s="33"/>
      <c r="BE39" s="33"/>
      <c r="BF39" s="33"/>
      <c r="BG39" s="33"/>
    </row>
    <row r="40" spans="2:59" ht="10" customHeight="1" thickBot="1" x14ac:dyDescent="0.25">
      <c r="B40" s="35"/>
      <c r="C40" s="102">
        <f>PER_TOTAL</f>
        <v>5</v>
      </c>
      <c r="D40" s="103"/>
      <c r="E40" s="36"/>
      <c r="G40" s="38"/>
      <c r="H40" s="90" t="s">
        <v>62</v>
      </c>
      <c r="I40" s="91"/>
      <c r="J40" s="91"/>
      <c r="K40" s="91"/>
      <c r="L40" s="91"/>
      <c r="M40" s="91"/>
      <c r="N40" s="91"/>
      <c r="O40" s="91"/>
      <c r="P40" s="91"/>
      <c r="Q40" s="92"/>
      <c r="R40" s="38"/>
      <c r="S40" s="90" t="s">
        <v>64</v>
      </c>
      <c r="T40" s="91"/>
      <c r="U40" s="91"/>
      <c r="V40" s="91"/>
      <c r="W40" s="91"/>
      <c r="X40" s="91"/>
      <c r="Y40" s="91"/>
      <c r="Z40" s="91"/>
      <c r="AA40" s="91"/>
      <c r="AB40" s="92"/>
      <c r="AC40" s="38"/>
      <c r="AD40" s="38"/>
      <c r="AE40" s="38"/>
      <c r="AF40" s="38"/>
      <c r="AG40" s="38"/>
      <c r="AH40" s="38"/>
      <c r="AI40" s="38"/>
      <c r="AJ40" s="38"/>
      <c r="AK40" s="38"/>
      <c r="AL40" s="38"/>
      <c r="AM40" s="38"/>
      <c r="AN40" s="38"/>
      <c r="AO40" s="38"/>
      <c r="AP40" s="38"/>
      <c r="AQ40" s="38"/>
      <c r="AR40" s="38"/>
      <c r="AS40" s="38"/>
      <c r="AT40" s="38"/>
      <c r="AU40" s="38"/>
      <c r="AV40" s="38"/>
      <c r="AW40" s="38"/>
      <c r="BA40" s="33"/>
      <c r="BB40" s="33"/>
      <c r="BC40" s="33"/>
      <c r="BD40" s="33"/>
      <c r="BE40" s="33"/>
      <c r="BF40" s="33"/>
      <c r="BG40" s="33"/>
    </row>
    <row r="41" spans="2:59" ht="10" customHeight="1" x14ac:dyDescent="0.2">
      <c r="B41" s="34"/>
      <c r="C41" s="104"/>
      <c r="D41" s="105"/>
      <c r="E41" s="33"/>
      <c r="G41" s="38"/>
      <c r="H41" s="38"/>
      <c r="I41" s="38"/>
      <c r="J41" s="38"/>
      <c r="K41" s="38"/>
      <c r="L41" s="38"/>
      <c r="M41" s="38"/>
      <c r="N41" s="38"/>
      <c r="O41" s="38"/>
      <c r="P41" s="38"/>
      <c r="Q41" s="38"/>
      <c r="R41" s="38"/>
      <c r="AC41" s="38"/>
      <c r="AD41" s="38"/>
      <c r="AE41" s="38"/>
      <c r="AF41" s="38"/>
      <c r="AG41" s="38"/>
      <c r="AH41" s="38"/>
      <c r="AI41" s="38"/>
      <c r="AN41" s="38"/>
      <c r="AO41" s="38"/>
      <c r="AP41" s="38"/>
      <c r="AQ41" s="38"/>
      <c r="AR41" s="38"/>
      <c r="AS41" s="38"/>
      <c r="AT41" s="38"/>
      <c r="AU41" s="38"/>
      <c r="AV41" s="38"/>
      <c r="AW41" s="38"/>
      <c r="BA41" s="33"/>
      <c r="BB41" s="33"/>
      <c r="BC41" s="33"/>
      <c r="BD41" s="33"/>
      <c r="BE41" s="33"/>
      <c r="BF41" s="33"/>
      <c r="BG41" s="33"/>
    </row>
    <row r="42" spans="2:59" ht="10" customHeight="1" x14ac:dyDescent="0.2">
      <c r="G42" s="38"/>
      <c r="H42" s="38"/>
      <c r="I42" s="38"/>
      <c r="J42" s="38"/>
      <c r="K42" s="38"/>
      <c r="L42" s="38"/>
      <c r="M42" s="38"/>
      <c r="N42" s="38"/>
      <c r="O42" s="38"/>
      <c r="P42" s="38"/>
      <c r="Q42" s="38"/>
      <c r="R42" s="38"/>
      <c r="S42" s="38"/>
      <c r="T42" s="38"/>
      <c r="U42" s="38"/>
      <c r="V42" s="38"/>
      <c r="W42" s="38"/>
      <c r="X42" s="38"/>
      <c r="Y42" s="38"/>
      <c r="Z42" s="38"/>
      <c r="AA42" s="38"/>
      <c r="AB42" s="38"/>
      <c r="AC42" s="38"/>
      <c r="AD42" s="38"/>
      <c r="AE42" s="38"/>
      <c r="AF42" s="38"/>
      <c r="AG42" s="38"/>
      <c r="AH42" s="38"/>
      <c r="AI42" s="38"/>
      <c r="AN42" s="38"/>
      <c r="AO42" s="38"/>
      <c r="AP42" s="38"/>
      <c r="AQ42" s="38"/>
      <c r="AR42" s="38"/>
      <c r="AS42" s="38"/>
      <c r="AT42" s="38"/>
      <c r="AU42" s="38"/>
      <c r="AV42" s="38"/>
      <c r="AW42" s="38"/>
      <c r="BA42" s="33"/>
      <c r="BB42" s="33"/>
      <c r="BC42" s="33"/>
      <c r="BD42" s="33"/>
      <c r="BE42" s="33"/>
      <c r="BF42" s="33"/>
      <c r="BG42" s="33"/>
    </row>
    <row r="43" spans="2:59" ht="10" customHeight="1" x14ac:dyDescent="0.2">
      <c r="G43" s="38"/>
      <c r="H43" s="38"/>
      <c r="I43" s="38"/>
      <c r="J43" s="38"/>
      <c r="K43" s="38"/>
      <c r="L43" s="38"/>
      <c r="M43" s="38"/>
      <c r="N43" s="38"/>
      <c r="O43" s="38"/>
      <c r="P43" s="38"/>
      <c r="Q43" s="38"/>
      <c r="R43" s="38"/>
      <c r="S43" s="38"/>
      <c r="T43" s="38"/>
      <c r="U43" s="38"/>
      <c r="V43" s="38"/>
      <c r="W43" s="38"/>
      <c r="X43" s="38"/>
      <c r="Y43" s="38"/>
      <c r="Z43" s="38"/>
      <c r="AA43" s="38"/>
      <c r="AB43" s="38"/>
      <c r="AC43" s="38"/>
      <c r="AD43" s="38"/>
      <c r="AE43" s="38"/>
      <c r="AF43" s="38"/>
      <c r="AG43" s="38"/>
      <c r="AH43" s="38"/>
      <c r="AI43" s="38"/>
      <c r="AN43" s="38"/>
      <c r="AO43" s="38"/>
      <c r="AP43" s="38"/>
      <c r="AQ43" s="38"/>
      <c r="AR43" s="38"/>
      <c r="AS43" s="38"/>
      <c r="AT43" s="38"/>
      <c r="AU43" s="38"/>
      <c r="AV43" s="38"/>
      <c r="AW43" s="38"/>
      <c r="BA43" s="33"/>
      <c r="BB43" s="33"/>
      <c r="BC43" s="33"/>
      <c r="BD43" s="33"/>
      <c r="BE43" s="33"/>
      <c r="BF43" s="33"/>
      <c r="BG43" s="33"/>
    </row>
    <row r="44" spans="2:59" ht="10" customHeight="1" x14ac:dyDescent="0.2">
      <c r="AT44" s="38"/>
      <c r="AU44" s="38"/>
      <c r="AV44" s="38"/>
      <c r="AW44" s="38"/>
    </row>
    <row r="45" spans="2:59" ht="10" customHeight="1" x14ac:dyDescent="0.2">
      <c r="AT45" s="38"/>
      <c r="AU45" s="38"/>
      <c r="AV45" s="38"/>
      <c r="AW45" s="38"/>
    </row>
    <row r="46" spans="2:59" ht="10" customHeight="1" x14ac:dyDescent="0.2">
      <c r="AT46" s="38"/>
      <c r="AU46" s="38"/>
      <c r="AV46" s="38"/>
      <c r="AW46" s="38"/>
    </row>
    <row r="47" spans="2:59" ht="10" customHeight="1" x14ac:dyDescent="0.2">
      <c r="AT47" s="38"/>
      <c r="AU47" s="38"/>
      <c r="AV47" s="38"/>
      <c r="AW47" s="38"/>
    </row>
    <row r="48" spans="2:59" ht="10" customHeight="1" x14ac:dyDescent="0.2">
      <c r="G48" s="38"/>
      <c r="H48" s="38"/>
      <c r="I48" s="38"/>
      <c r="AR48" s="38"/>
      <c r="AS48" s="38"/>
      <c r="AT48" s="38"/>
      <c r="AU48" s="38"/>
      <c r="AV48" s="38"/>
      <c r="AW48" s="38"/>
    </row>
    <row r="49" spans="2:49" ht="10" customHeight="1" x14ac:dyDescent="0.2">
      <c r="G49" s="38"/>
      <c r="H49" s="38"/>
      <c r="I49" s="38"/>
      <c r="AR49" s="38"/>
      <c r="AS49" s="38"/>
      <c r="AT49" s="38"/>
      <c r="AU49" s="38"/>
      <c r="AV49" s="38"/>
      <c r="AW49" s="38"/>
    </row>
    <row r="50" spans="2:49" ht="10" customHeight="1" x14ac:dyDescent="0.2">
      <c r="B50" s="37"/>
      <c r="C50" s="37"/>
      <c r="D50" s="37"/>
      <c r="E50" s="37"/>
      <c r="F50" s="37"/>
      <c r="G50" s="37"/>
      <c r="H50" s="37"/>
      <c r="I50" s="37"/>
      <c r="V50" s="37"/>
      <c r="W50" s="37"/>
    </row>
    <row r="51" spans="2:49" ht="10" customHeight="1" x14ac:dyDescent="0.2"/>
    <row r="52" spans="2:49" ht="10" customHeight="1" x14ac:dyDescent="0.2"/>
    <row r="53" spans="2:49" ht="10" customHeight="1" x14ac:dyDescent="0.2"/>
    <row r="54" spans="2:49" ht="10" customHeight="1" x14ac:dyDescent="0.2"/>
    <row r="55" spans="2:49" ht="10" customHeight="1" x14ac:dyDescent="0.2"/>
    <row r="56" spans="2:49" ht="10" customHeight="1" x14ac:dyDescent="0.2"/>
    <row r="57" spans="2:49" ht="10" customHeight="1" x14ac:dyDescent="0.2"/>
    <row r="58" spans="2:49" ht="10" customHeight="1" x14ac:dyDescent="0.2"/>
    <row r="59" spans="2:49" ht="10" customHeight="1" x14ac:dyDescent="0.2"/>
    <row r="60" spans="2:49" ht="10" customHeight="1" x14ac:dyDescent="0.2"/>
    <row r="61" spans="2:49" ht="10" customHeight="1" x14ac:dyDescent="0.2"/>
    <row r="62" spans="2:49" ht="10" customHeight="1" x14ac:dyDescent="0.2"/>
    <row r="63" spans="2:49" ht="10" customHeight="1" x14ac:dyDescent="0.2"/>
    <row r="64" spans="2:49" ht="10" customHeight="1" x14ac:dyDescent="0.2"/>
    <row r="65" ht="10" customHeight="1" x14ac:dyDescent="0.2"/>
    <row r="66" ht="10" customHeight="1" x14ac:dyDescent="0.2"/>
    <row r="67" ht="10" customHeight="1" x14ac:dyDescent="0.2"/>
    <row r="68" ht="10" customHeight="1" x14ac:dyDescent="0.2"/>
    <row r="69" ht="10" customHeight="1" x14ac:dyDescent="0.2"/>
    <row r="70" ht="10" customHeight="1" x14ac:dyDescent="0.2"/>
    <row r="71" ht="10" customHeight="1" x14ac:dyDescent="0.2"/>
    <row r="72" ht="10" customHeight="1" x14ac:dyDescent="0.2"/>
    <row r="73" ht="10" customHeight="1" x14ac:dyDescent="0.2"/>
    <row r="74" ht="10" customHeight="1" x14ac:dyDescent="0.2"/>
    <row r="75" ht="10" customHeight="1" x14ac:dyDescent="0.2"/>
    <row r="76" ht="10" customHeight="1" x14ac:dyDescent="0.2"/>
    <row r="77" ht="10" customHeight="1" x14ac:dyDescent="0.2"/>
    <row r="78" ht="10" customHeight="1" x14ac:dyDescent="0.2"/>
    <row r="79" ht="10" customHeight="1" x14ac:dyDescent="0.2"/>
    <row r="80" ht="10" customHeight="1" x14ac:dyDescent="0.2"/>
    <row r="81" ht="10" customHeight="1" x14ac:dyDescent="0.2"/>
    <row r="82" ht="10" customHeight="1" x14ac:dyDescent="0.2"/>
    <row r="83" ht="10" customHeight="1" x14ac:dyDescent="0.2"/>
    <row r="84" ht="10" customHeight="1" x14ac:dyDescent="0.2"/>
    <row r="85" ht="10" customHeight="1" x14ac:dyDescent="0.2"/>
    <row r="86" ht="10" customHeight="1" x14ac:dyDescent="0.2"/>
    <row r="87" ht="10" customHeight="1" x14ac:dyDescent="0.2"/>
    <row r="88" ht="10" customHeight="1" x14ac:dyDescent="0.2"/>
    <row r="89" ht="10" customHeight="1" x14ac:dyDescent="0.2"/>
    <row r="90" ht="10" customHeight="1" x14ac:dyDescent="0.2"/>
    <row r="91" ht="10" customHeight="1" x14ac:dyDescent="0.2"/>
    <row r="92" ht="10" customHeight="1" x14ac:dyDescent="0.2"/>
    <row r="93" ht="10" customHeight="1" x14ac:dyDescent="0.2"/>
    <row r="94" ht="10" customHeight="1" x14ac:dyDescent="0.2"/>
    <row r="95" ht="10" customHeight="1" x14ac:dyDescent="0.2"/>
    <row r="96" ht="10" customHeight="1" x14ac:dyDescent="0.2"/>
    <row r="97" ht="10" customHeight="1" x14ac:dyDescent="0.2"/>
    <row r="98" ht="10" customHeight="1" x14ac:dyDescent="0.2"/>
    <row r="99" ht="10" customHeight="1" x14ac:dyDescent="0.2"/>
    <row r="100" ht="10" customHeight="1" x14ac:dyDescent="0.2"/>
    <row r="101" ht="10" customHeight="1" x14ac:dyDescent="0.2"/>
    <row r="102" ht="10" customHeight="1" x14ac:dyDescent="0.2"/>
    <row r="103" ht="10" customHeight="1" x14ac:dyDescent="0.2"/>
    <row r="104" ht="10" customHeight="1" x14ac:dyDescent="0.2"/>
    <row r="105" ht="10" customHeight="1" x14ac:dyDescent="0.2"/>
    <row r="106" ht="10" customHeight="1" x14ac:dyDescent="0.2"/>
    <row r="107" ht="10" customHeight="1" x14ac:dyDescent="0.2"/>
    <row r="108" ht="10" customHeight="1" x14ac:dyDescent="0.2"/>
    <row r="109" ht="10" customHeight="1" x14ac:dyDescent="0.2"/>
    <row r="110" ht="10" customHeight="1" x14ac:dyDescent="0.2"/>
    <row r="111" ht="10" customHeight="1" x14ac:dyDescent="0.2"/>
    <row r="112" ht="10" customHeight="1" x14ac:dyDescent="0.2"/>
    <row r="113" ht="10" customHeight="1" x14ac:dyDescent="0.2"/>
    <row r="114" ht="10" customHeight="1" x14ac:dyDescent="0.2"/>
    <row r="115" ht="10" customHeight="1" x14ac:dyDescent="0.2"/>
    <row r="116" ht="10" customHeight="1" x14ac:dyDescent="0.2"/>
    <row r="117" ht="10" customHeight="1" x14ac:dyDescent="0.2"/>
    <row r="118" ht="10" customHeight="1" x14ac:dyDescent="0.2"/>
    <row r="119" ht="10" customHeight="1" x14ac:dyDescent="0.2"/>
    <row r="120" ht="10" customHeight="1" x14ac:dyDescent="0.2"/>
    <row r="121" ht="10" customHeight="1" x14ac:dyDescent="0.2"/>
    <row r="122" ht="10" customHeight="1" x14ac:dyDescent="0.2"/>
    <row r="123" ht="10" customHeight="1" x14ac:dyDescent="0.2"/>
    <row r="124" ht="10" customHeight="1" x14ac:dyDescent="0.2"/>
    <row r="125" ht="10" customHeight="1" x14ac:dyDescent="0.2"/>
    <row r="126" ht="10" customHeight="1" x14ac:dyDescent="0.2"/>
    <row r="127" ht="10" customHeight="1" x14ac:dyDescent="0.2"/>
    <row r="128" ht="10" customHeight="1" x14ac:dyDescent="0.2"/>
    <row r="129" ht="10" customHeight="1" x14ac:dyDescent="0.2"/>
    <row r="130" ht="10" customHeight="1" x14ac:dyDescent="0.2"/>
    <row r="131" ht="10" customHeight="1" x14ac:dyDescent="0.2"/>
    <row r="132" ht="10" customHeight="1" x14ac:dyDescent="0.2"/>
    <row r="133" ht="10" customHeight="1" x14ac:dyDescent="0.2"/>
    <row r="134" ht="10" customHeight="1" x14ac:dyDescent="0.2"/>
    <row r="135" ht="10" customHeight="1" x14ac:dyDescent="0.2"/>
    <row r="136" ht="10" customHeight="1" x14ac:dyDescent="0.2"/>
    <row r="137" ht="10" customHeight="1" x14ac:dyDescent="0.2"/>
    <row r="138" ht="10" customHeight="1" x14ac:dyDescent="0.2"/>
    <row r="139" ht="10" customHeight="1" x14ac:dyDescent="0.2"/>
    <row r="140" ht="10" customHeight="1" x14ac:dyDescent="0.2"/>
    <row r="141" ht="10" customHeight="1" x14ac:dyDescent="0.2"/>
    <row r="142" ht="10" customHeight="1" x14ac:dyDescent="0.2"/>
    <row r="143" ht="10" customHeight="1" x14ac:dyDescent="0.2"/>
    <row r="144" ht="10" customHeight="1" x14ac:dyDescent="0.2"/>
    <row r="145" ht="10" customHeight="1" x14ac:dyDescent="0.2"/>
    <row r="146" ht="10" customHeight="1" x14ac:dyDescent="0.2"/>
    <row r="147" ht="10" customHeight="1" x14ac:dyDescent="0.2"/>
    <row r="148" ht="10" customHeight="1" x14ac:dyDescent="0.2"/>
    <row r="149" ht="10" customHeight="1" x14ac:dyDescent="0.2"/>
    <row r="150" ht="10" customHeight="1" x14ac:dyDescent="0.2"/>
    <row r="151" ht="10" customHeight="1" x14ac:dyDescent="0.2"/>
    <row r="152" ht="10" customHeight="1" x14ac:dyDescent="0.2"/>
    <row r="153" ht="10" customHeight="1" x14ac:dyDescent="0.2"/>
    <row r="154" ht="10" customHeight="1" x14ac:dyDescent="0.2"/>
    <row r="155" ht="10" customHeight="1" x14ac:dyDescent="0.2"/>
    <row r="156" ht="10" customHeight="1" x14ac:dyDescent="0.2"/>
    <row r="157" ht="10" customHeight="1" x14ac:dyDescent="0.2"/>
    <row r="158" ht="10" customHeight="1" x14ac:dyDescent="0.2"/>
    <row r="159" ht="10" customHeight="1" x14ac:dyDescent="0.2"/>
    <row r="160" ht="10" customHeight="1" x14ac:dyDescent="0.2"/>
    <row r="161" ht="10" customHeight="1" x14ac:dyDescent="0.2"/>
    <row r="162" ht="10" customHeight="1" x14ac:dyDescent="0.2"/>
    <row r="163" ht="10" customHeight="1" x14ac:dyDescent="0.2"/>
    <row r="164" ht="10" customHeight="1" x14ac:dyDescent="0.2"/>
    <row r="165" ht="10" customHeight="1" x14ac:dyDescent="0.2"/>
    <row r="166" ht="10" customHeight="1" x14ac:dyDescent="0.2"/>
    <row r="167" ht="10" customHeight="1" x14ac:dyDescent="0.2"/>
    <row r="168" ht="10" customHeight="1" x14ac:dyDescent="0.2"/>
    <row r="169" ht="10" customHeight="1" x14ac:dyDescent="0.2"/>
    <row r="170" ht="10" customHeight="1" x14ac:dyDescent="0.2"/>
    <row r="171" ht="10" customHeight="1" x14ac:dyDescent="0.2"/>
    <row r="172" ht="10" customHeight="1" x14ac:dyDescent="0.2"/>
    <row r="173" ht="10" customHeight="1" x14ac:dyDescent="0.2"/>
    <row r="174" ht="10" customHeight="1" x14ac:dyDescent="0.2"/>
    <row r="175" ht="10" customHeight="1" x14ac:dyDescent="0.2"/>
    <row r="176" ht="10" customHeight="1" x14ac:dyDescent="0.2"/>
    <row r="177" ht="10" customHeight="1" x14ac:dyDescent="0.2"/>
    <row r="178" ht="10" customHeight="1" x14ac:dyDescent="0.2"/>
    <row r="179" ht="10" customHeight="1" x14ac:dyDescent="0.2"/>
    <row r="180" ht="10" customHeight="1" x14ac:dyDescent="0.2"/>
    <row r="181" ht="10" customHeight="1" x14ac:dyDescent="0.2"/>
    <row r="182" ht="10" customHeight="1" x14ac:dyDescent="0.2"/>
    <row r="183" ht="10" customHeight="1" x14ac:dyDescent="0.2"/>
    <row r="184" ht="10" customHeight="1" x14ac:dyDescent="0.2"/>
    <row r="185" ht="10" customHeight="1" x14ac:dyDescent="0.2"/>
    <row r="186" ht="10" customHeight="1" x14ac:dyDescent="0.2"/>
    <row r="187" ht="10" customHeight="1" x14ac:dyDescent="0.2"/>
    <row r="188" ht="10" customHeight="1" x14ac:dyDescent="0.2"/>
    <row r="189" ht="10" customHeight="1" x14ac:dyDescent="0.2"/>
    <row r="190" ht="10" customHeight="1" x14ac:dyDescent="0.2"/>
    <row r="191" ht="10" customHeight="1" x14ac:dyDescent="0.2"/>
    <row r="192" ht="10" customHeight="1" x14ac:dyDescent="0.2"/>
    <row r="193" ht="10" customHeight="1" x14ac:dyDescent="0.2"/>
    <row r="194" ht="10" customHeight="1" x14ac:dyDescent="0.2"/>
    <row r="195" ht="10" customHeight="1" x14ac:dyDescent="0.2"/>
    <row r="196" ht="10" customHeight="1" x14ac:dyDescent="0.2"/>
    <row r="197" ht="10" customHeight="1" x14ac:dyDescent="0.2"/>
    <row r="198" ht="10" customHeight="1" x14ac:dyDescent="0.2"/>
    <row r="199" ht="10" customHeight="1" x14ac:dyDescent="0.2"/>
    <row r="200" ht="10" customHeight="1" x14ac:dyDescent="0.2"/>
    <row r="201" ht="10" customHeight="1" x14ac:dyDescent="0.2"/>
    <row r="202" ht="10" customHeight="1" x14ac:dyDescent="0.2"/>
    <row r="203" ht="10" customHeight="1" x14ac:dyDescent="0.2"/>
    <row r="204" ht="10" customHeight="1" x14ac:dyDescent="0.2"/>
    <row r="205" ht="10" customHeight="1" x14ac:dyDescent="0.2"/>
    <row r="206" ht="10" customHeight="1" x14ac:dyDescent="0.2"/>
    <row r="207" ht="10" customHeight="1" x14ac:dyDescent="0.2"/>
    <row r="208" ht="10" customHeight="1" x14ac:dyDescent="0.2"/>
    <row r="209" ht="16" customHeight="1" x14ac:dyDescent="0.2"/>
    <row r="210" ht="16" customHeight="1" x14ac:dyDescent="0.2"/>
    <row r="211" ht="16" customHeight="1" x14ac:dyDescent="0.2"/>
    <row r="212" ht="16" customHeight="1" x14ac:dyDescent="0.2"/>
    <row r="213" ht="16" customHeight="1" x14ac:dyDescent="0.2"/>
    <row r="214" ht="16" customHeight="1" x14ac:dyDescent="0.2"/>
    <row r="215" ht="16" customHeight="1" x14ac:dyDescent="0.2"/>
    <row r="216" ht="16" customHeight="1" x14ac:dyDescent="0.2"/>
    <row r="217" ht="16" customHeight="1" x14ac:dyDescent="0.2"/>
    <row r="218" ht="16" customHeight="1" x14ac:dyDescent="0.2"/>
    <row r="219" ht="16" customHeight="1" x14ac:dyDescent="0.2"/>
    <row r="220" ht="16" customHeight="1" x14ac:dyDescent="0.2"/>
    <row r="221" ht="16" customHeight="1" x14ac:dyDescent="0.2"/>
    <row r="222" ht="16" customHeight="1" x14ac:dyDescent="0.2"/>
    <row r="223" ht="16" customHeight="1" x14ac:dyDescent="0.2"/>
    <row r="224" ht="16" customHeight="1" x14ac:dyDescent="0.2"/>
    <row r="225" ht="16" customHeight="1" x14ac:dyDescent="0.2"/>
    <row r="226" ht="16" customHeight="1" x14ac:dyDescent="0.2"/>
    <row r="227" ht="16" customHeight="1" x14ac:dyDescent="0.2"/>
    <row r="228" ht="16" customHeight="1" x14ac:dyDescent="0.2"/>
    <row r="229" ht="16" customHeight="1" x14ac:dyDescent="0.2"/>
    <row r="230" ht="16" customHeight="1" x14ac:dyDescent="0.2"/>
    <row r="231" ht="16" customHeight="1" x14ac:dyDescent="0.2"/>
    <row r="232" ht="16" customHeight="1" x14ac:dyDescent="0.2"/>
    <row r="233" ht="16" customHeight="1" x14ac:dyDescent="0.2"/>
    <row r="234" ht="16" customHeight="1" x14ac:dyDescent="0.2"/>
    <row r="235" ht="16" customHeight="1" x14ac:dyDescent="0.2"/>
    <row r="236" ht="16" customHeight="1" x14ac:dyDescent="0.2"/>
    <row r="237" ht="16" customHeight="1" x14ac:dyDescent="0.2"/>
    <row r="238" ht="16" customHeight="1" x14ac:dyDescent="0.2"/>
    <row r="239" ht="16" customHeight="1" x14ac:dyDescent="0.2"/>
    <row r="240" ht="16" customHeight="1" x14ac:dyDescent="0.2"/>
    <row r="241" ht="16" customHeight="1" x14ac:dyDescent="0.2"/>
    <row r="242" ht="16" customHeight="1" x14ac:dyDescent="0.2"/>
    <row r="243" ht="16" customHeight="1" x14ac:dyDescent="0.2"/>
    <row r="244" ht="16" customHeight="1" x14ac:dyDescent="0.2"/>
    <row r="245" ht="16" customHeight="1" x14ac:dyDescent="0.2"/>
    <row r="246" ht="16" customHeight="1" x14ac:dyDescent="0.2"/>
    <row r="247" ht="16" customHeight="1" x14ac:dyDescent="0.2"/>
    <row r="248" ht="16" customHeight="1" x14ac:dyDescent="0.2"/>
    <row r="249" ht="16" customHeight="1" x14ac:dyDescent="0.2"/>
    <row r="250" ht="16" customHeight="1" x14ac:dyDescent="0.2"/>
    <row r="251" ht="16" customHeight="1" x14ac:dyDescent="0.2"/>
    <row r="252" ht="16" customHeight="1" x14ac:dyDescent="0.2"/>
    <row r="253" ht="16" customHeight="1" x14ac:dyDescent="0.2"/>
    <row r="254" ht="16" customHeight="1" x14ac:dyDescent="0.2"/>
    <row r="255" ht="16" customHeight="1" x14ac:dyDescent="0.2"/>
    <row r="256" ht="16" customHeight="1" x14ac:dyDescent="0.2"/>
    <row r="257" ht="16" customHeight="1" x14ac:dyDescent="0.2"/>
    <row r="258" ht="16" customHeight="1" x14ac:dyDescent="0.2"/>
    <row r="259" ht="16" customHeight="1" x14ac:dyDescent="0.2"/>
    <row r="260" ht="16" customHeight="1" x14ac:dyDescent="0.2"/>
    <row r="261" ht="16" customHeight="1" x14ac:dyDescent="0.2"/>
    <row r="262" ht="16" customHeight="1" x14ac:dyDescent="0.2"/>
    <row r="263" ht="16" customHeight="1" x14ac:dyDescent="0.2"/>
    <row r="264" ht="16" customHeight="1" x14ac:dyDescent="0.2"/>
    <row r="265" ht="16" customHeight="1" x14ac:dyDescent="0.2"/>
    <row r="266" ht="16" customHeight="1" x14ac:dyDescent="0.2"/>
    <row r="267" ht="16" customHeight="1" x14ac:dyDescent="0.2"/>
    <row r="268" ht="16" customHeight="1" x14ac:dyDescent="0.2"/>
    <row r="269" ht="16" customHeight="1" x14ac:dyDescent="0.2"/>
    <row r="270" ht="16" customHeight="1" x14ac:dyDescent="0.2"/>
    <row r="271" ht="16" customHeight="1" x14ac:dyDescent="0.2"/>
    <row r="272" ht="16" customHeight="1" x14ac:dyDescent="0.2"/>
    <row r="273" ht="16" customHeight="1" x14ac:dyDescent="0.2"/>
    <row r="274" ht="16" customHeight="1" x14ac:dyDescent="0.2"/>
    <row r="275" ht="16" customHeight="1" x14ac:dyDescent="0.2"/>
    <row r="276" ht="16" customHeight="1" x14ac:dyDescent="0.2"/>
    <row r="277" ht="16" customHeight="1" x14ac:dyDescent="0.2"/>
    <row r="278" ht="16" customHeight="1" x14ac:dyDescent="0.2"/>
    <row r="279" ht="16" customHeight="1" x14ac:dyDescent="0.2"/>
    <row r="280" ht="16" customHeight="1" x14ac:dyDescent="0.2"/>
    <row r="281" ht="16" customHeight="1" x14ac:dyDescent="0.2"/>
    <row r="282" ht="16" customHeight="1" x14ac:dyDescent="0.2"/>
    <row r="283" ht="16" customHeight="1" x14ac:dyDescent="0.2"/>
    <row r="284" ht="16" customHeight="1" x14ac:dyDescent="0.2"/>
    <row r="285" ht="16" customHeight="1" x14ac:dyDescent="0.2"/>
    <row r="286" ht="16" customHeight="1" x14ac:dyDescent="0.2"/>
    <row r="287" ht="16" customHeight="1" x14ac:dyDescent="0.2"/>
    <row r="288" ht="16" customHeight="1" x14ac:dyDescent="0.2"/>
    <row r="289" ht="16" customHeight="1" x14ac:dyDescent="0.2"/>
    <row r="290" ht="16" customHeight="1" x14ac:dyDescent="0.2"/>
    <row r="291" ht="16" customHeight="1" x14ac:dyDescent="0.2"/>
  </sheetData>
  <mergeCells count="45">
    <mergeCell ref="B22:E22"/>
    <mergeCell ref="B23:E25"/>
    <mergeCell ref="C26:D27"/>
    <mergeCell ref="B29:E29"/>
    <mergeCell ref="B5:C5"/>
    <mergeCell ref="C12:D13"/>
    <mergeCell ref="B9:E11"/>
    <mergeCell ref="B15:E15"/>
    <mergeCell ref="B16:E18"/>
    <mergeCell ref="C19:D20"/>
    <mergeCell ref="B30:E32"/>
    <mergeCell ref="C33:D34"/>
    <mergeCell ref="B36:E36"/>
    <mergeCell ref="B37:E39"/>
    <mergeCell ref="C40:D41"/>
    <mergeCell ref="S2:Z3"/>
    <mergeCell ref="AB2:AI3"/>
    <mergeCell ref="M8:P8"/>
    <mergeCell ref="R8:U8"/>
    <mergeCell ref="W8:Z8"/>
    <mergeCell ref="B2:O4"/>
    <mergeCell ref="B8:E8"/>
    <mergeCell ref="E5:F5"/>
    <mergeCell ref="AS2:AV5"/>
    <mergeCell ref="AS6:AV6"/>
    <mergeCell ref="AN2:AQ5"/>
    <mergeCell ref="AN6:AQ6"/>
    <mergeCell ref="AG8:AJ8"/>
    <mergeCell ref="S28:AB28"/>
    <mergeCell ref="S40:AB40"/>
    <mergeCell ref="AE16:AW16"/>
    <mergeCell ref="H40:Q40"/>
    <mergeCell ref="AB8:AE8"/>
    <mergeCell ref="AB9:AE11"/>
    <mergeCell ref="AG9:AJ11"/>
    <mergeCell ref="H8:K8"/>
    <mergeCell ref="AE13:AW14"/>
    <mergeCell ref="AQ8:AT8"/>
    <mergeCell ref="AQ9:AT11"/>
    <mergeCell ref="AL8:AO8"/>
    <mergeCell ref="AL9:AO11"/>
    <mergeCell ref="H9:K11"/>
    <mergeCell ref="W9:Z11"/>
    <mergeCell ref="R9:U11"/>
    <mergeCell ref="M9:P11"/>
  </mergeCells>
  <pageMargins left="0.25" right="0.25" top="0.75" bottom="0.75" header="0.3" footer="0.3"/>
  <pageSetup paperSize="9" orientation="portrait" horizontalDpi="0" verticalDpi="0"/>
  <ignoredErrors>
    <ignoredError sqref="Y15" formula="1"/>
  </ignoredError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098BF7-D61F-B240-ACAC-E4252DEAC004}">
  <dimension ref="A1:U33"/>
  <sheetViews>
    <sheetView workbookViewId="0">
      <selection activeCell="G18" sqref="G18"/>
    </sheetView>
  </sheetViews>
  <sheetFormatPr baseColWidth="10" defaultRowHeight="21" x14ac:dyDescent="0.25"/>
  <cols>
    <col min="1" max="16384" width="10.83203125" style="1"/>
  </cols>
  <sheetData>
    <row r="1" spans="1:21" x14ac:dyDescent="0.25">
      <c r="A1" s="1" t="s">
        <v>22</v>
      </c>
      <c r="B1" s="2" t="s">
        <v>36</v>
      </c>
      <c r="C1" s="2" t="s">
        <v>37</v>
      </c>
      <c r="D1" s="2" t="s">
        <v>38</v>
      </c>
      <c r="E1" s="2" t="s">
        <v>55</v>
      </c>
      <c r="F1" s="2" t="s">
        <v>39</v>
      </c>
      <c r="G1" s="2" t="s">
        <v>77</v>
      </c>
      <c r="H1" s="2" t="s">
        <v>52</v>
      </c>
      <c r="I1" s="2" t="s">
        <v>70</v>
      </c>
      <c r="J1" s="2" t="s">
        <v>71</v>
      </c>
      <c r="K1" s="2" t="s">
        <v>72</v>
      </c>
      <c r="L1" s="2" t="s">
        <v>81</v>
      </c>
      <c r="M1" s="2" t="s">
        <v>82</v>
      </c>
      <c r="N1" s="2" t="s">
        <v>83</v>
      </c>
      <c r="O1" s="2" t="s">
        <v>84</v>
      </c>
      <c r="P1" s="2" t="s">
        <v>85</v>
      </c>
      <c r="Q1" s="2" t="s">
        <v>86</v>
      </c>
      <c r="R1" s="2" t="s">
        <v>87</v>
      </c>
    </row>
    <row r="2" spans="1:21" x14ac:dyDescent="0.25">
      <c r="A2" s="1" t="s">
        <v>138</v>
      </c>
      <c r="B2" s="2">
        <v>0</v>
      </c>
      <c r="C2" s="2">
        <v>0</v>
      </c>
      <c r="D2" s="2">
        <v>0</v>
      </c>
      <c r="E2" s="2">
        <v>0</v>
      </c>
      <c r="F2" s="2">
        <v>0</v>
      </c>
      <c r="G2" s="2">
        <v>0</v>
      </c>
      <c r="H2" s="2">
        <v>0</v>
      </c>
      <c r="I2" s="2"/>
      <c r="J2" s="2"/>
      <c r="K2" s="2"/>
      <c r="L2" s="2"/>
      <c r="M2" s="2"/>
      <c r="N2" s="2"/>
      <c r="O2" s="2"/>
      <c r="P2" s="2"/>
      <c r="Q2" s="2"/>
      <c r="R2" s="2"/>
    </row>
    <row r="3" spans="1:21" x14ac:dyDescent="0.25">
      <c r="A3" s="1" t="s">
        <v>89</v>
      </c>
      <c r="B3" s="2">
        <v>0</v>
      </c>
      <c r="C3" s="2">
        <v>18</v>
      </c>
      <c r="D3" s="2">
        <v>18</v>
      </c>
      <c r="E3" s="2">
        <v>4</v>
      </c>
      <c r="F3" s="2">
        <v>10</v>
      </c>
      <c r="G3" s="2">
        <v>0</v>
      </c>
      <c r="H3" s="2">
        <v>10</v>
      </c>
      <c r="I3" s="2"/>
      <c r="J3" s="2"/>
      <c r="K3" s="2"/>
      <c r="L3" s="2"/>
      <c r="M3" s="2"/>
      <c r="N3" s="2"/>
      <c r="O3" s="2"/>
      <c r="P3" s="2"/>
      <c r="Q3" s="2"/>
      <c r="R3" s="2"/>
      <c r="U3" s="1">
        <f>SUM(Table79[[#This Row],[STR]:[PER]])</f>
        <v>50</v>
      </c>
    </row>
    <row r="4" spans="1:21" x14ac:dyDescent="0.25">
      <c r="A4" s="1" t="s">
        <v>90</v>
      </c>
      <c r="B4" s="2">
        <v>15</v>
      </c>
      <c r="C4" s="2">
        <v>5</v>
      </c>
      <c r="D4" s="2">
        <v>5</v>
      </c>
      <c r="E4" s="2">
        <v>15</v>
      </c>
      <c r="F4" s="2">
        <v>10</v>
      </c>
      <c r="G4" s="2">
        <v>0</v>
      </c>
      <c r="H4" s="2">
        <v>10</v>
      </c>
      <c r="I4" s="2"/>
      <c r="J4" s="2"/>
      <c r="K4" s="2"/>
      <c r="L4" s="2"/>
      <c r="M4" s="2"/>
      <c r="N4" s="2"/>
      <c r="O4" s="2"/>
      <c r="P4" s="2"/>
      <c r="Q4" s="2"/>
      <c r="R4" s="2"/>
      <c r="U4" s="1">
        <f>SUM(Table79[[#This Row],[STR]:[PER]])</f>
        <v>50</v>
      </c>
    </row>
    <row r="5" spans="1:21" x14ac:dyDescent="0.25">
      <c r="A5" s="1" t="s">
        <v>91</v>
      </c>
      <c r="B5" s="2">
        <v>10</v>
      </c>
      <c r="C5" s="2">
        <v>10</v>
      </c>
      <c r="D5" s="2">
        <v>10</v>
      </c>
      <c r="E5" s="2">
        <v>10</v>
      </c>
      <c r="F5" s="2">
        <v>10</v>
      </c>
      <c r="G5" s="2">
        <v>0</v>
      </c>
      <c r="H5" s="2">
        <v>10</v>
      </c>
      <c r="I5" s="2"/>
      <c r="J5" s="2"/>
      <c r="K5" s="2"/>
      <c r="L5" s="2"/>
      <c r="M5" s="2"/>
      <c r="N5" s="2"/>
      <c r="O5" s="2"/>
      <c r="P5" s="2"/>
      <c r="Q5" s="2"/>
      <c r="R5" s="2"/>
      <c r="U5" s="1">
        <f>SUM(Table79[[#This Row],[STR]:[PER]])</f>
        <v>50</v>
      </c>
    </row>
    <row r="6" spans="1:21" x14ac:dyDescent="0.25">
      <c r="A6" s="1" t="s">
        <v>92</v>
      </c>
      <c r="B6" s="2">
        <v>12</v>
      </c>
      <c r="C6" s="2">
        <v>12</v>
      </c>
      <c r="D6" s="2">
        <v>4</v>
      </c>
      <c r="E6" s="2">
        <v>4</v>
      </c>
      <c r="F6" s="2">
        <v>18</v>
      </c>
      <c r="G6" s="2">
        <v>0</v>
      </c>
      <c r="H6" s="2">
        <v>10</v>
      </c>
      <c r="I6" s="2"/>
      <c r="J6" s="2"/>
      <c r="K6" s="2"/>
      <c r="L6" s="2"/>
      <c r="M6" s="2"/>
      <c r="N6" s="2"/>
      <c r="O6" s="2"/>
      <c r="P6" s="2"/>
      <c r="Q6" s="2"/>
      <c r="R6" s="2"/>
      <c r="U6" s="1">
        <f>SUM(Table79[[#This Row],[STR]:[PER]])</f>
        <v>50</v>
      </c>
    </row>
    <row r="7" spans="1:21" x14ac:dyDescent="0.25">
      <c r="A7" s="1" t="s">
        <v>93</v>
      </c>
      <c r="B7" s="2">
        <v>0</v>
      </c>
      <c r="C7" s="2">
        <v>25</v>
      </c>
      <c r="D7" s="2">
        <v>5</v>
      </c>
      <c r="E7" s="2">
        <v>5</v>
      </c>
      <c r="F7" s="2">
        <v>15</v>
      </c>
      <c r="G7" s="2">
        <v>0</v>
      </c>
      <c r="H7" s="2">
        <v>10</v>
      </c>
      <c r="I7" s="2"/>
      <c r="J7" s="2"/>
      <c r="K7" s="2"/>
      <c r="L7" s="2"/>
      <c r="M7" s="2"/>
      <c r="N7" s="2"/>
      <c r="O7" s="2"/>
      <c r="P7" s="2"/>
      <c r="Q7" s="2"/>
      <c r="R7" s="2"/>
      <c r="U7" s="1">
        <f>SUM(Table79[[#This Row],[STR]:[PER]])</f>
        <v>50</v>
      </c>
    </row>
    <row r="8" spans="1:21" x14ac:dyDescent="0.25">
      <c r="A8" s="1" t="s">
        <v>94</v>
      </c>
      <c r="B8" s="2">
        <v>10</v>
      </c>
      <c r="C8" s="2">
        <v>10</v>
      </c>
      <c r="D8" s="2">
        <v>10</v>
      </c>
      <c r="E8" s="2">
        <v>10</v>
      </c>
      <c r="F8" s="2">
        <v>10</v>
      </c>
      <c r="G8" s="2">
        <v>0</v>
      </c>
      <c r="H8" s="2">
        <v>10</v>
      </c>
      <c r="I8" s="2"/>
      <c r="J8" s="2"/>
      <c r="K8" s="2"/>
      <c r="L8" s="2"/>
      <c r="M8" s="2"/>
      <c r="N8" s="2"/>
      <c r="O8" s="2"/>
      <c r="P8" s="2"/>
      <c r="Q8" s="2"/>
      <c r="R8" s="2"/>
      <c r="U8" s="1">
        <f>SUM(Table79[[#This Row],[STR]:[PER]])</f>
        <v>50</v>
      </c>
    </row>
    <row r="9" spans="1:21" x14ac:dyDescent="0.25">
      <c r="A9" s="1" t="s">
        <v>95</v>
      </c>
      <c r="B9" s="2">
        <v>10</v>
      </c>
      <c r="C9" s="2">
        <v>13</v>
      </c>
      <c r="D9" s="2">
        <v>13</v>
      </c>
      <c r="E9" s="2">
        <v>6</v>
      </c>
      <c r="F9" s="2">
        <v>8</v>
      </c>
      <c r="G9" s="2">
        <v>0</v>
      </c>
      <c r="H9" s="2">
        <v>10</v>
      </c>
      <c r="I9" s="2"/>
      <c r="J9" s="2"/>
      <c r="K9" s="2"/>
      <c r="L9" s="2"/>
      <c r="M9" s="2"/>
      <c r="N9" s="2"/>
      <c r="O9" s="2"/>
      <c r="P9" s="2"/>
      <c r="Q9" s="2"/>
      <c r="R9" s="2"/>
      <c r="U9" s="1">
        <f>SUM(Table79[[#This Row],[STR]:[PER]])</f>
        <v>50</v>
      </c>
    </row>
    <row r="10" spans="1:21" x14ac:dyDescent="0.25">
      <c r="A10" s="1" t="s">
        <v>96</v>
      </c>
      <c r="B10" s="2">
        <v>12</v>
      </c>
      <c r="C10" s="2">
        <v>10</v>
      </c>
      <c r="D10" s="2">
        <v>7</v>
      </c>
      <c r="E10" s="2">
        <v>7</v>
      </c>
      <c r="F10" s="2">
        <v>14</v>
      </c>
      <c r="G10" s="2">
        <v>0</v>
      </c>
      <c r="H10" s="2">
        <v>10</v>
      </c>
      <c r="I10" s="2"/>
      <c r="J10" s="2"/>
      <c r="K10" s="2"/>
      <c r="L10" s="2"/>
      <c r="M10" s="2"/>
      <c r="N10" s="2"/>
      <c r="O10" s="2"/>
      <c r="P10" s="2"/>
      <c r="Q10" s="2"/>
      <c r="R10" s="2"/>
      <c r="U10" s="1">
        <f>SUM(Table79[[#This Row],[STR]:[PER]])</f>
        <v>50</v>
      </c>
    </row>
    <row r="11" spans="1:21" x14ac:dyDescent="0.25">
      <c r="A11" s="1" t="s">
        <v>97</v>
      </c>
      <c r="B11" s="2">
        <v>20</v>
      </c>
      <c r="C11" s="2">
        <v>0</v>
      </c>
      <c r="D11" s="2">
        <v>6</v>
      </c>
      <c r="E11" s="2">
        <v>18</v>
      </c>
      <c r="F11" s="2">
        <v>6</v>
      </c>
      <c r="G11" s="2">
        <v>0</v>
      </c>
      <c r="H11" s="2">
        <v>10</v>
      </c>
      <c r="I11" s="2"/>
      <c r="J11" s="2"/>
      <c r="K11" s="2"/>
      <c r="L11" s="2"/>
      <c r="M11" s="2"/>
      <c r="N11" s="2"/>
      <c r="O11" s="2"/>
      <c r="P11" s="2"/>
      <c r="Q11" s="2"/>
      <c r="R11" s="2"/>
      <c r="U11" s="1">
        <f>SUM(Table79[[#This Row],[STR]:[PER]])</f>
        <v>50</v>
      </c>
    </row>
    <row r="12" spans="1:21" x14ac:dyDescent="0.25">
      <c r="A12" s="1" t="s">
        <v>98</v>
      </c>
      <c r="B12" s="2">
        <v>15</v>
      </c>
      <c r="C12" s="2">
        <v>6</v>
      </c>
      <c r="D12" s="2">
        <v>6</v>
      </c>
      <c r="E12" s="2">
        <v>13</v>
      </c>
      <c r="F12" s="2">
        <v>10</v>
      </c>
      <c r="G12" s="2">
        <v>0</v>
      </c>
      <c r="H12" s="2">
        <v>10</v>
      </c>
      <c r="I12" s="2"/>
      <c r="J12" s="2"/>
      <c r="K12" s="2"/>
      <c r="L12" s="2"/>
      <c r="M12" s="2"/>
      <c r="N12" s="2"/>
      <c r="O12" s="2"/>
      <c r="P12" s="2"/>
      <c r="Q12" s="2"/>
      <c r="R12" s="2"/>
      <c r="U12" s="1">
        <f>SUM(Table79[[#This Row],[STR]:[PER]])</f>
        <v>50</v>
      </c>
    </row>
    <row r="13" spans="1:21" x14ac:dyDescent="0.25">
      <c r="A13" s="1" t="s">
        <v>100</v>
      </c>
      <c r="B13" s="2">
        <v>0</v>
      </c>
      <c r="C13" s="2">
        <v>10</v>
      </c>
      <c r="D13" s="2">
        <v>20</v>
      </c>
      <c r="E13" s="2">
        <v>0</v>
      </c>
      <c r="F13" s="2">
        <v>20</v>
      </c>
      <c r="G13" s="2">
        <v>0</v>
      </c>
      <c r="H13" s="2">
        <v>10</v>
      </c>
      <c r="I13" s="2"/>
      <c r="J13" s="2"/>
      <c r="K13" s="2"/>
      <c r="L13" s="2"/>
      <c r="M13" s="2"/>
      <c r="N13" s="2"/>
      <c r="O13" s="2"/>
      <c r="P13" s="2"/>
      <c r="Q13" s="2"/>
      <c r="R13" s="2"/>
      <c r="U13" s="1">
        <f>SUM(Table79[[#This Row],[STR]:[PER]])</f>
        <v>50</v>
      </c>
    </row>
    <row r="14" spans="1:21" x14ac:dyDescent="0.25">
      <c r="B14" s="2"/>
      <c r="C14" s="2"/>
      <c r="D14" s="2"/>
      <c r="E14" s="2"/>
      <c r="F14" s="2"/>
      <c r="G14" s="2"/>
      <c r="H14" s="2"/>
      <c r="I14" s="2"/>
      <c r="J14" s="2"/>
      <c r="K14" s="2"/>
      <c r="L14" s="2"/>
      <c r="M14" s="2"/>
      <c r="N14" s="2"/>
      <c r="O14" s="2"/>
      <c r="P14" s="2"/>
      <c r="Q14" s="2"/>
      <c r="R14" s="2"/>
      <c r="U14" s="1">
        <f>SUM(Table79[[#This Row],[STR]:[PER]])</f>
        <v>0</v>
      </c>
    </row>
    <row r="15" spans="1:21" x14ac:dyDescent="0.25">
      <c r="B15" s="2"/>
      <c r="C15" s="2"/>
      <c r="D15" s="2"/>
      <c r="E15" s="2"/>
      <c r="F15" s="2"/>
      <c r="G15" s="2"/>
      <c r="H15" s="2"/>
      <c r="I15" s="2"/>
      <c r="J15" s="2"/>
      <c r="K15" s="2"/>
      <c r="L15" s="2"/>
      <c r="M15" s="2"/>
      <c r="N15" s="2"/>
      <c r="O15" s="2"/>
      <c r="P15" s="2"/>
      <c r="Q15" s="2"/>
      <c r="R15" s="2"/>
      <c r="U15" s="1">
        <f>SUM(Table79[[#This Row],[STR]:[PER]])</f>
        <v>0</v>
      </c>
    </row>
    <row r="16" spans="1:21" x14ac:dyDescent="0.25">
      <c r="B16" s="2"/>
      <c r="C16" s="2"/>
      <c r="D16" s="2"/>
      <c r="E16" s="2"/>
      <c r="F16" s="2"/>
      <c r="G16" s="2"/>
      <c r="H16" s="2"/>
      <c r="I16" s="2"/>
      <c r="J16" s="2"/>
      <c r="K16" s="2"/>
      <c r="L16" s="2"/>
      <c r="M16" s="2"/>
      <c r="N16" s="2"/>
      <c r="O16" s="2"/>
      <c r="P16" s="2"/>
      <c r="Q16" s="2"/>
      <c r="R16" s="2"/>
      <c r="U16" s="1">
        <f>SUM(Table79[[#This Row],[STR]:[PER]])</f>
        <v>0</v>
      </c>
    </row>
    <row r="17" spans="2:21" x14ac:dyDescent="0.25">
      <c r="B17" s="2"/>
      <c r="C17" s="2"/>
      <c r="D17" s="2"/>
      <c r="E17" s="2"/>
      <c r="F17" s="2"/>
      <c r="G17" s="2"/>
      <c r="H17" s="2"/>
      <c r="I17" s="2"/>
      <c r="J17" s="2"/>
      <c r="K17" s="2"/>
      <c r="L17" s="2"/>
      <c r="M17" s="2"/>
      <c r="N17" s="2"/>
      <c r="O17" s="2"/>
      <c r="P17" s="2"/>
      <c r="Q17" s="2"/>
      <c r="R17" s="2"/>
      <c r="U17" s="1">
        <f>SUM(Table79[[#This Row],[STR]:[PER]])</f>
        <v>0</v>
      </c>
    </row>
    <row r="18" spans="2:21" x14ac:dyDescent="0.25">
      <c r="B18" s="2"/>
      <c r="C18" s="2"/>
      <c r="D18" s="2"/>
      <c r="E18" s="2"/>
      <c r="F18" s="2"/>
      <c r="G18" s="2"/>
      <c r="H18" s="2"/>
      <c r="I18" s="2"/>
      <c r="J18" s="2"/>
      <c r="K18" s="2"/>
      <c r="L18" s="2"/>
      <c r="M18" s="2"/>
      <c r="N18" s="2"/>
      <c r="O18" s="2"/>
      <c r="P18" s="2"/>
      <c r="Q18" s="2"/>
      <c r="R18" s="2"/>
      <c r="U18" s="1">
        <f>SUM(Table79[[#This Row],[STR]:[PER]])</f>
        <v>0</v>
      </c>
    </row>
    <row r="19" spans="2:21" x14ac:dyDescent="0.25">
      <c r="B19" s="2"/>
      <c r="C19" s="2"/>
      <c r="D19" s="2"/>
      <c r="E19" s="2"/>
      <c r="F19" s="2"/>
      <c r="G19" s="2"/>
      <c r="H19" s="2"/>
      <c r="I19" s="2"/>
      <c r="J19" s="2"/>
      <c r="K19" s="2"/>
      <c r="L19" s="2"/>
      <c r="M19" s="2"/>
      <c r="N19" s="2"/>
      <c r="O19" s="2"/>
      <c r="P19" s="2"/>
      <c r="Q19" s="2"/>
      <c r="R19" s="2"/>
      <c r="U19" s="1">
        <f>SUM(Table79[[#This Row],[STR]:[PER]])</f>
        <v>0</v>
      </c>
    </row>
    <row r="20" spans="2:21" x14ac:dyDescent="0.25">
      <c r="B20" s="2"/>
      <c r="C20" s="2"/>
      <c r="D20" s="2"/>
      <c r="E20" s="2"/>
      <c r="F20" s="2"/>
      <c r="G20" s="2"/>
      <c r="H20" s="2"/>
      <c r="I20" s="2"/>
      <c r="J20" s="2"/>
      <c r="K20" s="2"/>
      <c r="L20" s="2"/>
      <c r="M20" s="2"/>
      <c r="N20" s="2"/>
      <c r="O20" s="2"/>
      <c r="P20" s="2"/>
      <c r="Q20" s="2"/>
      <c r="R20" s="2"/>
      <c r="U20" s="1">
        <f>SUM(Table79[[#This Row],[STR]:[PER]])</f>
        <v>0</v>
      </c>
    </row>
    <row r="21" spans="2:21" x14ac:dyDescent="0.25">
      <c r="B21" s="2"/>
      <c r="C21" s="2"/>
      <c r="D21" s="2"/>
      <c r="E21" s="2"/>
      <c r="F21" s="2"/>
      <c r="G21" s="2"/>
      <c r="H21" s="2"/>
      <c r="I21" s="2"/>
      <c r="J21" s="2"/>
      <c r="K21" s="2"/>
      <c r="L21" s="2"/>
      <c r="M21" s="2"/>
      <c r="N21" s="2"/>
      <c r="O21" s="2"/>
      <c r="P21" s="2"/>
      <c r="Q21" s="2"/>
      <c r="R21" s="2"/>
      <c r="U21" s="1">
        <f>SUM(Table79[[#This Row],[STR]:[PER]])</f>
        <v>0</v>
      </c>
    </row>
    <row r="22" spans="2:21" x14ac:dyDescent="0.25">
      <c r="B22" s="2"/>
      <c r="C22" s="2"/>
      <c r="D22" s="2"/>
      <c r="E22" s="2"/>
      <c r="F22" s="2"/>
      <c r="G22" s="2"/>
      <c r="H22" s="2"/>
      <c r="I22" s="2"/>
      <c r="J22" s="2"/>
      <c r="K22" s="2"/>
      <c r="L22" s="2"/>
      <c r="M22" s="2"/>
      <c r="N22" s="2"/>
      <c r="O22" s="2"/>
      <c r="P22" s="2"/>
      <c r="Q22" s="2"/>
      <c r="R22" s="2"/>
      <c r="U22" s="1">
        <f>SUM(Table79[[#This Row],[STR]:[PER]])</f>
        <v>0</v>
      </c>
    </row>
    <row r="23" spans="2:21" x14ac:dyDescent="0.25">
      <c r="B23" s="2"/>
      <c r="C23" s="2"/>
      <c r="D23" s="2"/>
      <c r="E23" s="2"/>
      <c r="F23" s="2"/>
      <c r="G23" s="2"/>
      <c r="H23" s="2"/>
      <c r="I23" s="2"/>
      <c r="J23" s="2"/>
      <c r="K23" s="2"/>
      <c r="L23" s="2"/>
      <c r="M23" s="2"/>
      <c r="N23" s="2"/>
      <c r="O23" s="2"/>
      <c r="P23" s="2"/>
      <c r="Q23" s="2"/>
      <c r="R23" s="2"/>
      <c r="U23" s="1">
        <f>SUM(Table79[[#This Row],[STR]:[PER]])</f>
        <v>0</v>
      </c>
    </row>
    <row r="24" spans="2:21" x14ac:dyDescent="0.25">
      <c r="B24" s="2"/>
      <c r="C24" s="2"/>
      <c r="D24" s="2"/>
      <c r="E24" s="2"/>
      <c r="F24" s="2"/>
      <c r="G24" s="2"/>
      <c r="H24" s="2"/>
      <c r="I24" s="2"/>
      <c r="J24" s="2"/>
      <c r="K24" s="2"/>
      <c r="L24" s="2"/>
      <c r="M24" s="2"/>
      <c r="N24" s="2"/>
      <c r="O24" s="2"/>
      <c r="P24" s="2"/>
      <c r="Q24" s="2"/>
      <c r="R24" s="2"/>
      <c r="U24" s="1">
        <f>SUM(Table79[[#This Row],[STR]:[PER]])</f>
        <v>0</v>
      </c>
    </row>
    <row r="25" spans="2:21" x14ac:dyDescent="0.25">
      <c r="B25" s="2"/>
      <c r="C25" s="2"/>
      <c r="D25" s="2"/>
      <c r="E25" s="2"/>
      <c r="F25" s="2"/>
      <c r="G25" s="2"/>
      <c r="H25" s="2"/>
      <c r="I25" s="2"/>
      <c r="J25" s="2"/>
      <c r="K25" s="2"/>
      <c r="L25" s="2"/>
      <c r="M25" s="2"/>
      <c r="N25" s="2"/>
      <c r="O25" s="2"/>
      <c r="P25" s="2"/>
      <c r="Q25" s="2"/>
      <c r="R25" s="2"/>
      <c r="U25" s="1">
        <f>SUM(Table79[[#This Row],[STR]:[PER]])</f>
        <v>0</v>
      </c>
    </row>
    <row r="26" spans="2:21" x14ac:dyDescent="0.25">
      <c r="B26" s="2"/>
      <c r="C26" s="2"/>
      <c r="D26" s="2"/>
      <c r="E26" s="2"/>
      <c r="F26" s="2"/>
      <c r="G26" s="2"/>
      <c r="H26" s="2"/>
      <c r="I26" s="2"/>
      <c r="J26" s="2"/>
      <c r="K26" s="2"/>
      <c r="L26" s="2"/>
      <c r="M26" s="2"/>
      <c r="N26" s="2"/>
      <c r="O26" s="2"/>
      <c r="P26" s="2"/>
      <c r="Q26" s="2"/>
      <c r="R26" s="2"/>
      <c r="U26" s="1">
        <f>SUM(Table79[[#This Row],[STR]:[PER]])</f>
        <v>0</v>
      </c>
    </row>
    <row r="27" spans="2:21" x14ac:dyDescent="0.25">
      <c r="B27" s="2"/>
      <c r="C27" s="2"/>
      <c r="D27" s="2"/>
      <c r="E27" s="2"/>
      <c r="F27" s="2"/>
      <c r="G27" s="2"/>
      <c r="H27" s="2"/>
      <c r="I27" s="2"/>
      <c r="J27" s="2"/>
      <c r="K27" s="2"/>
      <c r="L27" s="2"/>
      <c r="M27" s="2"/>
      <c r="N27" s="2"/>
      <c r="O27" s="2"/>
      <c r="P27" s="2"/>
      <c r="Q27" s="2"/>
      <c r="R27" s="2"/>
      <c r="U27" s="1">
        <f>SUM(Table79[[#This Row],[STR]:[PER]])</f>
        <v>0</v>
      </c>
    </row>
    <row r="28" spans="2:21" x14ac:dyDescent="0.25">
      <c r="B28" s="2"/>
      <c r="C28" s="2"/>
      <c r="D28" s="2"/>
      <c r="E28" s="2"/>
      <c r="F28" s="2"/>
      <c r="G28" s="2"/>
      <c r="H28" s="2"/>
      <c r="I28" s="2"/>
      <c r="J28" s="2"/>
      <c r="K28" s="2"/>
      <c r="L28" s="2"/>
      <c r="M28" s="2"/>
      <c r="N28" s="2"/>
      <c r="O28" s="2"/>
      <c r="P28" s="2"/>
      <c r="Q28" s="2"/>
      <c r="R28" s="2"/>
      <c r="U28" s="1">
        <f>SUM(Table79[[#This Row],[STR]:[PER]])</f>
        <v>0</v>
      </c>
    </row>
    <row r="29" spans="2:21" x14ac:dyDescent="0.25">
      <c r="B29" s="2"/>
      <c r="C29" s="2"/>
      <c r="D29" s="2"/>
      <c r="E29" s="2"/>
      <c r="F29" s="2"/>
      <c r="G29" s="2"/>
      <c r="H29" s="2"/>
      <c r="I29" s="2"/>
      <c r="J29" s="2"/>
      <c r="K29" s="2"/>
      <c r="L29" s="2"/>
      <c r="M29" s="2"/>
      <c r="N29" s="2"/>
      <c r="O29" s="2"/>
      <c r="P29" s="2"/>
      <c r="Q29" s="2"/>
      <c r="R29" s="2"/>
      <c r="U29" s="1">
        <f>SUM(Table79[[#This Row],[STR]:[PER]])</f>
        <v>0</v>
      </c>
    </row>
    <row r="30" spans="2:21" x14ac:dyDescent="0.25">
      <c r="B30" s="2"/>
      <c r="C30" s="2"/>
      <c r="D30" s="2"/>
      <c r="E30" s="2"/>
      <c r="F30" s="2"/>
      <c r="G30" s="2"/>
      <c r="H30" s="2"/>
      <c r="I30" s="2"/>
      <c r="J30" s="2"/>
      <c r="K30" s="2"/>
      <c r="L30" s="2"/>
      <c r="M30" s="2"/>
      <c r="N30" s="2"/>
      <c r="O30" s="2"/>
      <c r="P30" s="2"/>
      <c r="Q30" s="2"/>
      <c r="R30" s="2"/>
      <c r="U30" s="1">
        <f>SUM(Table79[[#This Row],[STR]:[PER]])</f>
        <v>0</v>
      </c>
    </row>
    <row r="31" spans="2:21" x14ac:dyDescent="0.25">
      <c r="B31" s="2"/>
      <c r="C31" s="2"/>
      <c r="D31" s="2"/>
      <c r="E31" s="2"/>
      <c r="F31" s="2"/>
      <c r="G31" s="2"/>
      <c r="H31" s="2"/>
      <c r="I31" s="2"/>
      <c r="J31" s="2"/>
      <c r="K31" s="2"/>
      <c r="L31" s="2"/>
      <c r="M31" s="2"/>
      <c r="N31" s="2"/>
      <c r="O31" s="2"/>
      <c r="P31" s="2"/>
      <c r="Q31" s="2"/>
      <c r="R31" s="2"/>
      <c r="U31" s="1">
        <f>SUM(Table79[[#This Row],[STR]:[PER]])</f>
        <v>0</v>
      </c>
    </row>
    <row r="32" spans="2:21" x14ac:dyDescent="0.25">
      <c r="B32" s="2"/>
      <c r="C32" s="2"/>
      <c r="D32" s="2"/>
      <c r="E32" s="2"/>
      <c r="F32" s="2"/>
      <c r="G32" s="2"/>
      <c r="H32" s="2"/>
      <c r="I32" s="2"/>
      <c r="J32" s="2"/>
      <c r="K32" s="2"/>
      <c r="L32" s="2"/>
      <c r="M32" s="2"/>
      <c r="N32" s="2"/>
      <c r="O32" s="2"/>
      <c r="P32" s="2"/>
      <c r="Q32" s="2"/>
      <c r="R32" s="2"/>
      <c r="U32" s="1">
        <f>SUM(Table79[[#This Row],[STR]:[PER]])</f>
        <v>0</v>
      </c>
    </row>
    <row r="33" spans="2:21" x14ac:dyDescent="0.25">
      <c r="B33" s="2"/>
      <c r="C33" s="2"/>
      <c r="D33" s="2"/>
      <c r="E33" s="2"/>
      <c r="F33" s="2"/>
      <c r="G33" s="2"/>
      <c r="H33" s="2"/>
      <c r="I33" s="2"/>
      <c r="J33" s="2"/>
      <c r="K33" s="2"/>
      <c r="L33" s="2"/>
      <c r="M33" s="2"/>
      <c r="N33" s="2"/>
      <c r="O33" s="2"/>
      <c r="P33" s="2"/>
      <c r="Q33" s="2"/>
      <c r="R33" s="2"/>
      <c r="U33" s="1">
        <f>SUM(Table79[[#This Row],[STR]:[PER]])</f>
        <v>0</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4E0AAB-6595-644C-841E-80FF921EBC22}">
  <dimension ref="A1:T58"/>
  <sheetViews>
    <sheetView workbookViewId="0">
      <selection activeCell="G29" sqref="G29"/>
    </sheetView>
  </sheetViews>
  <sheetFormatPr baseColWidth="10" defaultRowHeight="21" x14ac:dyDescent="0.25"/>
  <cols>
    <col min="1" max="1" width="21.33203125" style="1" customWidth="1"/>
    <col min="2" max="6" width="10.5" style="2" customWidth="1"/>
    <col min="7" max="18" width="13.33203125" style="2" customWidth="1"/>
    <col min="19" max="16384" width="10.83203125" style="1"/>
  </cols>
  <sheetData>
    <row r="1" spans="1:20" x14ac:dyDescent="0.25">
      <c r="A1" s="1" t="s">
        <v>22</v>
      </c>
      <c r="B1" s="2" t="s">
        <v>36</v>
      </c>
      <c r="C1" s="2" t="s">
        <v>37</v>
      </c>
      <c r="D1" s="2" t="s">
        <v>38</v>
      </c>
      <c r="E1" s="2" t="s">
        <v>55</v>
      </c>
      <c r="F1" s="2" t="s">
        <v>39</v>
      </c>
      <c r="G1" s="2" t="s">
        <v>77</v>
      </c>
      <c r="H1" s="2" t="s">
        <v>52</v>
      </c>
      <c r="I1" s="2" t="s">
        <v>70</v>
      </c>
      <c r="J1" s="2" t="s">
        <v>71</v>
      </c>
      <c r="K1" s="2" t="s">
        <v>72</v>
      </c>
      <c r="L1" s="2" t="s">
        <v>81</v>
      </c>
      <c r="M1" s="2" t="s">
        <v>82</v>
      </c>
      <c r="N1" s="2" t="s">
        <v>83</v>
      </c>
      <c r="O1" s="2" t="s">
        <v>84</v>
      </c>
      <c r="P1" s="2" t="s">
        <v>85</v>
      </c>
      <c r="Q1" s="2" t="s">
        <v>86</v>
      </c>
      <c r="R1" s="2" t="s">
        <v>87</v>
      </c>
      <c r="T1" s="1" t="s">
        <v>99</v>
      </c>
    </row>
    <row r="2" spans="1:20" x14ac:dyDescent="0.25">
      <c r="A2" s="1" t="s">
        <v>138</v>
      </c>
      <c r="B2" s="2">
        <v>0</v>
      </c>
      <c r="C2" s="2">
        <v>0</v>
      </c>
      <c r="D2" s="2">
        <v>0</v>
      </c>
      <c r="E2" s="2">
        <v>0</v>
      </c>
      <c r="F2" s="2">
        <v>0</v>
      </c>
      <c r="G2" s="2">
        <v>1</v>
      </c>
      <c r="H2" s="2">
        <v>0</v>
      </c>
    </row>
    <row r="3" spans="1:20" x14ac:dyDescent="0.25">
      <c r="A3" s="1" t="s">
        <v>78</v>
      </c>
      <c r="B3" s="2">
        <v>18</v>
      </c>
      <c r="C3" s="2">
        <v>8</v>
      </c>
      <c r="D3" s="2">
        <v>0</v>
      </c>
      <c r="E3" s="2">
        <v>4</v>
      </c>
      <c r="F3" s="2">
        <v>4</v>
      </c>
      <c r="G3" s="2">
        <v>2</v>
      </c>
      <c r="H3" s="2">
        <v>10</v>
      </c>
      <c r="T3" s="1">
        <f>SUM(Table7[[#This Row],[STR]:[PER]])</f>
        <v>34</v>
      </c>
    </row>
    <row r="4" spans="1:20" x14ac:dyDescent="0.25">
      <c r="A4" s="1" t="s">
        <v>79</v>
      </c>
      <c r="B4" s="2">
        <v>26</v>
      </c>
      <c r="C4" s="2">
        <v>0</v>
      </c>
      <c r="D4" s="2">
        <v>0</v>
      </c>
      <c r="E4" s="2">
        <v>0</v>
      </c>
      <c r="F4" s="2">
        <v>8</v>
      </c>
      <c r="G4" s="2">
        <v>2</v>
      </c>
      <c r="H4" s="2">
        <v>10</v>
      </c>
      <c r="T4" s="1">
        <f>SUM(Table7[[#This Row],[STR]:[PER]])</f>
        <v>34</v>
      </c>
    </row>
    <row r="5" spans="1:20" x14ac:dyDescent="0.25">
      <c r="A5" s="1" t="s">
        <v>80</v>
      </c>
      <c r="B5" s="2">
        <v>20</v>
      </c>
      <c r="C5" s="2">
        <v>6</v>
      </c>
      <c r="D5" s="2">
        <v>4</v>
      </c>
      <c r="E5" s="2">
        <v>4</v>
      </c>
      <c r="F5" s="2">
        <v>0</v>
      </c>
      <c r="G5" s="2">
        <v>2</v>
      </c>
      <c r="H5" s="2">
        <v>10</v>
      </c>
      <c r="T5" s="1">
        <f>SUM(Table7[[#This Row],[STR]:[PER]])</f>
        <v>34</v>
      </c>
    </row>
    <row r="6" spans="1:20" x14ac:dyDescent="0.25">
      <c r="A6" s="1" t="s">
        <v>188</v>
      </c>
      <c r="B6" s="2">
        <v>2</v>
      </c>
      <c r="C6" s="2">
        <v>20</v>
      </c>
      <c r="D6" s="2">
        <v>4</v>
      </c>
      <c r="E6" s="2">
        <v>0</v>
      </c>
      <c r="F6" s="2">
        <v>8</v>
      </c>
      <c r="G6" s="2">
        <v>1</v>
      </c>
      <c r="H6" s="2">
        <v>10</v>
      </c>
      <c r="T6" s="1">
        <f>SUM(Table7[[#This Row],[STR]:[PER]])</f>
        <v>34</v>
      </c>
    </row>
    <row r="7" spans="1:20" x14ac:dyDescent="0.25">
      <c r="A7" s="1" t="s">
        <v>189</v>
      </c>
      <c r="B7" s="2">
        <v>0</v>
      </c>
      <c r="C7" s="2">
        <v>4</v>
      </c>
      <c r="D7" s="2">
        <v>20</v>
      </c>
      <c r="E7" s="2">
        <v>5</v>
      </c>
      <c r="F7" s="2">
        <v>5</v>
      </c>
      <c r="G7" s="2">
        <v>1</v>
      </c>
      <c r="H7" s="2">
        <v>10</v>
      </c>
      <c r="T7" s="1">
        <f>SUM(Table7[[#This Row],[STR]:[PER]])</f>
        <v>34</v>
      </c>
    </row>
    <row r="8" spans="1:20" x14ac:dyDescent="0.25">
      <c r="A8" s="1" t="s">
        <v>190</v>
      </c>
      <c r="B8" s="2">
        <v>15</v>
      </c>
      <c r="C8" s="2">
        <v>15</v>
      </c>
      <c r="D8" s="2">
        <v>0</v>
      </c>
      <c r="E8" s="2">
        <v>4</v>
      </c>
      <c r="F8" s="2">
        <v>0</v>
      </c>
      <c r="G8" s="2">
        <v>1</v>
      </c>
      <c r="H8" s="2">
        <v>10</v>
      </c>
      <c r="T8" s="1">
        <f>SUM(Table7[[#This Row],[STR]:[PER]])</f>
        <v>34</v>
      </c>
    </row>
    <row r="9" spans="1:20" x14ac:dyDescent="0.25">
      <c r="A9" s="1" t="s">
        <v>191</v>
      </c>
      <c r="B9" s="2">
        <v>17</v>
      </c>
      <c r="C9" s="2">
        <v>0</v>
      </c>
      <c r="D9" s="2">
        <v>0</v>
      </c>
      <c r="E9" s="2">
        <v>17</v>
      </c>
      <c r="F9" s="2">
        <v>0</v>
      </c>
      <c r="G9" s="2">
        <v>2</v>
      </c>
      <c r="H9" s="2">
        <v>10</v>
      </c>
      <c r="T9" s="1">
        <f>SUM(Table7[[#This Row],[STR]:[PER]])</f>
        <v>34</v>
      </c>
    </row>
    <row r="10" spans="1:20" x14ac:dyDescent="0.25">
      <c r="A10" s="1" t="s">
        <v>192</v>
      </c>
      <c r="B10" s="2">
        <v>6</v>
      </c>
      <c r="C10" s="2">
        <v>7</v>
      </c>
      <c r="D10" s="2">
        <v>7</v>
      </c>
      <c r="E10" s="2">
        <v>7</v>
      </c>
      <c r="F10" s="2">
        <v>7</v>
      </c>
      <c r="G10" s="2">
        <v>1</v>
      </c>
      <c r="H10" s="2">
        <v>10</v>
      </c>
      <c r="T10" s="1">
        <f>SUM(Table7[[#This Row],[STR]:[PER]])</f>
        <v>34</v>
      </c>
    </row>
    <row r="11" spans="1:20" x14ac:dyDescent="0.25">
      <c r="A11" s="1" t="s">
        <v>193</v>
      </c>
      <c r="B11" s="2">
        <v>10</v>
      </c>
      <c r="C11" s="2">
        <v>0</v>
      </c>
      <c r="D11" s="2">
        <v>18</v>
      </c>
      <c r="E11" s="2">
        <v>6</v>
      </c>
      <c r="F11" s="2">
        <v>0</v>
      </c>
      <c r="G11" s="2">
        <v>1</v>
      </c>
      <c r="H11" s="2">
        <v>10</v>
      </c>
      <c r="T11" s="1">
        <f>SUM(Table7[[#This Row],[STR]:[PER]])</f>
        <v>34</v>
      </c>
    </row>
    <row r="12" spans="1:20" x14ac:dyDescent="0.25">
      <c r="A12" s="1" t="s">
        <v>194</v>
      </c>
      <c r="B12" s="2">
        <v>0</v>
      </c>
      <c r="C12" s="2">
        <v>10</v>
      </c>
      <c r="D12" s="2">
        <v>18</v>
      </c>
      <c r="E12" s="2">
        <v>6</v>
      </c>
      <c r="F12" s="2">
        <v>0</v>
      </c>
      <c r="G12" s="2">
        <v>1</v>
      </c>
      <c r="H12" s="2">
        <v>10</v>
      </c>
      <c r="T12" s="1">
        <f>SUM(Table7[[#This Row],[STR]:[PER]])</f>
        <v>34</v>
      </c>
    </row>
    <row r="13" spans="1:20" x14ac:dyDescent="0.25">
      <c r="A13" s="1" t="s">
        <v>195</v>
      </c>
      <c r="B13" s="2">
        <v>0</v>
      </c>
      <c r="C13" s="2">
        <v>10</v>
      </c>
      <c r="D13" s="2">
        <v>18</v>
      </c>
      <c r="E13" s="2">
        <v>6</v>
      </c>
      <c r="F13" s="2">
        <v>0</v>
      </c>
      <c r="G13" s="2">
        <v>1</v>
      </c>
      <c r="H13" s="2">
        <v>10</v>
      </c>
      <c r="T13" s="1">
        <f>SUM(Table7[[#This Row],[STR]:[PER]])</f>
        <v>34</v>
      </c>
    </row>
    <row r="14" spans="1:20" x14ac:dyDescent="0.25">
      <c r="A14" s="1" t="s">
        <v>196</v>
      </c>
      <c r="B14" s="2">
        <v>13</v>
      </c>
      <c r="C14" s="2">
        <v>0</v>
      </c>
      <c r="D14" s="2">
        <v>15</v>
      </c>
      <c r="E14" s="2">
        <v>6</v>
      </c>
      <c r="F14" s="2">
        <v>0</v>
      </c>
      <c r="G14" s="2">
        <v>1</v>
      </c>
      <c r="H14" s="2">
        <v>10</v>
      </c>
      <c r="T14" s="1">
        <f>SUM(Table7[[#This Row],[STR]:[PER]])</f>
        <v>34</v>
      </c>
    </row>
    <row r="15" spans="1:20" x14ac:dyDescent="0.25">
      <c r="A15" s="1" t="s">
        <v>197</v>
      </c>
      <c r="B15" s="2">
        <v>8</v>
      </c>
      <c r="C15" s="2">
        <v>5</v>
      </c>
      <c r="D15" s="2">
        <v>15</v>
      </c>
      <c r="E15" s="2">
        <v>0</v>
      </c>
      <c r="F15" s="2">
        <v>6</v>
      </c>
      <c r="G15" s="2">
        <v>1</v>
      </c>
      <c r="H15" s="2">
        <v>10</v>
      </c>
      <c r="T15" s="1">
        <f>SUM(Table7[[#This Row],[STR]:[PER]])</f>
        <v>34</v>
      </c>
    </row>
    <row r="16" spans="1:20" x14ac:dyDescent="0.25">
      <c r="A16" s="1" t="s">
        <v>198</v>
      </c>
      <c r="B16" s="2">
        <v>10</v>
      </c>
      <c r="C16" s="2">
        <v>0</v>
      </c>
      <c r="D16" s="2">
        <v>18</v>
      </c>
      <c r="E16" s="2">
        <v>6</v>
      </c>
      <c r="F16" s="2">
        <v>0</v>
      </c>
      <c r="G16" s="2">
        <v>1</v>
      </c>
      <c r="H16" s="2">
        <v>10</v>
      </c>
      <c r="T16" s="1">
        <f>SUM(Table7[[#This Row],[STR]:[PER]])</f>
        <v>34</v>
      </c>
    </row>
    <row r="17" spans="1:20" x14ac:dyDescent="0.25">
      <c r="A17" s="1" t="s">
        <v>199</v>
      </c>
      <c r="B17" s="2">
        <v>20</v>
      </c>
      <c r="C17" s="2">
        <v>0</v>
      </c>
      <c r="D17" s="2">
        <v>8</v>
      </c>
      <c r="E17" s="2">
        <v>6</v>
      </c>
      <c r="F17" s="2">
        <v>0</v>
      </c>
      <c r="G17" s="2">
        <v>1</v>
      </c>
      <c r="H17" s="2">
        <v>10</v>
      </c>
      <c r="T17" s="1">
        <f>SUM(Table7[[#This Row],[STR]:[PER]])</f>
        <v>34</v>
      </c>
    </row>
    <row r="18" spans="1:20" x14ac:dyDescent="0.25">
      <c r="A18" s="1" t="s">
        <v>200</v>
      </c>
      <c r="B18" s="2">
        <v>8</v>
      </c>
      <c r="C18" s="2">
        <v>0</v>
      </c>
      <c r="D18" s="2">
        <v>20</v>
      </c>
      <c r="E18" s="2">
        <v>6</v>
      </c>
      <c r="F18" s="2">
        <v>0</v>
      </c>
      <c r="G18" s="2">
        <v>1</v>
      </c>
      <c r="H18" s="2">
        <v>10</v>
      </c>
      <c r="T18" s="1">
        <f>SUM(Table7[[#This Row],[STR]:[PER]])</f>
        <v>34</v>
      </c>
    </row>
    <row r="19" spans="1:20" x14ac:dyDescent="0.25">
      <c r="A19" s="1" t="s">
        <v>201</v>
      </c>
      <c r="B19" s="2">
        <v>10</v>
      </c>
      <c r="C19" s="2">
        <v>0</v>
      </c>
      <c r="D19" s="2">
        <v>0</v>
      </c>
      <c r="E19" s="2">
        <v>24</v>
      </c>
      <c r="F19" s="2">
        <v>0</v>
      </c>
      <c r="G19" s="2">
        <v>2</v>
      </c>
      <c r="H19" s="2">
        <v>10</v>
      </c>
      <c r="T19" s="1">
        <f>SUM(Table7[[#This Row],[STR]:[PER]])</f>
        <v>34</v>
      </c>
    </row>
    <row r="20" spans="1:20" x14ac:dyDescent="0.25">
      <c r="A20" s="1" t="s">
        <v>202</v>
      </c>
      <c r="B20" s="2">
        <v>0</v>
      </c>
      <c r="C20" s="2">
        <v>8</v>
      </c>
      <c r="D20" s="2">
        <v>0</v>
      </c>
      <c r="E20" s="2">
        <v>8</v>
      </c>
      <c r="F20" s="2">
        <v>18</v>
      </c>
      <c r="G20" s="2">
        <v>1</v>
      </c>
      <c r="H20" s="2">
        <v>10</v>
      </c>
      <c r="T20" s="1">
        <f>SUM(Table7[[#This Row],[STR]:[PER]])</f>
        <v>34</v>
      </c>
    </row>
    <row r="21" spans="1:20" x14ac:dyDescent="0.25">
      <c r="T21" s="1">
        <f>SUM(Table7[[#This Row],[STR]:[PER]])</f>
        <v>0</v>
      </c>
    </row>
    <row r="22" spans="1:20" x14ac:dyDescent="0.25">
      <c r="T22" s="1">
        <f>SUM(Table7[[#This Row],[STR]:[PER]])</f>
        <v>0</v>
      </c>
    </row>
    <row r="23" spans="1:20" x14ac:dyDescent="0.25">
      <c r="T23" s="1">
        <f>SUM(Table7[[#This Row],[STR]:[PER]])</f>
        <v>0</v>
      </c>
    </row>
    <row r="24" spans="1:20" x14ac:dyDescent="0.25">
      <c r="T24" s="1">
        <f>SUM(Table7[[#This Row],[STR]:[PER]])</f>
        <v>0</v>
      </c>
    </row>
    <row r="25" spans="1:20" x14ac:dyDescent="0.25">
      <c r="T25" s="1">
        <f>SUM(Table7[[#This Row],[STR]:[PER]])</f>
        <v>0</v>
      </c>
    </row>
    <row r="26" spans="1:20" x14ac:dyDescent="0.25">
      <c r="T26" s="1">
        <f>SUM(Table7[[#This Row],[STR]:[PER]])</f>
        <v>0</v>
      </c>
    </row>
    <row r="27" spans="1:20" x14ac:dyDescent="0.25">
      <c r="T27" s="1">
        <f>SUM(Table7[[#This Row],[STR]:[PER]])</f>
        <v>0</v>
      </c>
    </row>
    <row r="28" spans="1:20" x14ac:dyDescent="0.25">
      <c r="T28" s="1">
        <f>SUM(Table7[[#This Row],[STR]:[PER]])</f>
        <v>0</v>
      </c>
    </row>
    <row r="29" spans="1:20" x14ac:dyDescent="0.25">
      <c r="T29" s="1">
        <f>SUM(Table7[[#This Row],[STR]:[PER]])</f>
        <v>0</v>
      </c>
    </row>
    <row r="30" spans="1:20" x14ac:dyDescent="0.25">
      <c r="T30" s="1">
        <f>SUM(Table7[[#This Row],[STR]:[PER]])</f>
        <v>0</v>
      </c>
    </row>
    <row r="31" spans="1:20" x14ac:dyDescent="0.25">
      <c r="T31" s="1">
        <f>SUM(Table7[[#This Row],[STR]:[PER]])</f>
        <v>0</v>
      </c>
    </row>
    <row r="32" spans="1:20" x14ac:dyDescent="0.25">
      <c r="T32" s="1">
        <f>SUM(Table7[[#This Row],[STR]:[PER]])</f>
        <v>0</v>
      </c>
    </row>
    <row r="33" spans="20:20" x14ac:dyDescent="0.25">
      <c r="T33" s="1">
        <f>SUM(Table7[[#This Row],[STR]:[PER]])</f>
        <v>0</v>
      </c>
    </row>
    <row r="34" spans="20:20" x14ac:dyDescent="0.25">
      <c r="T34" s="1">
        <f>SUM(Table7[[#This Row],[STR]:[PER]])</f>
        <v>0</v>
      </c>
    </row>
    <row r="35" spans="20:20" x14ac:dyDescent="0.25">
      <c r="T35" s="1">
        <f>SUM(Table7[[#This Row],[STR]:[PER]])</f>
        <v>0</v>
      </c>
    </row>
    <row r="36" spans="20:20" x14ac:dyDescent="0.25">
      <c r="T36" s="1">
        <f>SUM(Table7[[#This Row],[STR]:[PER]])</f>
        <v>0</v>
      </c>
    </row>
    <row r="37" spans="20:20" x14ac:dyDescent="0.25">
      <c r="T37" s="1">
        <f>SUM(Table7[[#This Row],[STR]:[PER]])</f>
        <v>0</v>
      </c>
    </row>
    <row r="38" spans="20:20" x14ac:dyDescent="0.25">
      <c r="T38" s="1">
        <f>SUM(Table7[[#This Row],[STR]:[PER]])</f>
        <v>0</v>
      </c>
    </row>
    <row r="39" spans="20:20" x14ac:dyDescent="0.25">
      <c r="T39" s="1">
        <f>SUM(Table7[[#This Row],[STR]:[PER]])</f>
        <v>0</v>
      </c>
    </row>
    <row r="40" spans="20:20" x14ac:dyDescent="0.25">
      <c r="T40" s="1">
        <f>SUM(Table7[[#This Row],[STR]:[PER]])</f>
        <v>0</v>
      </c>
    </row>
    <row r="41" spans="20:20" x14ac:dyDescent="0.25">
      <c r="T41" s="1">
        <f>SUM(Table7[[#This Row],[STR]:[PER]])</f>
        <v>0</v>
      </c>
    </row>
    <row r="42" spans="20:20" x14ac:dyDescent="0.25">
      <c r="T42" s="1">
        <f>SUM(Table7[[#This Row],[STR]:[PER]])</f>
        <v>0</v>
      </c>
    </row>
    <row r="43" spans="20:20" x14ac:dyDescent="0.25">
      <c r="T43" s="1">
        <f>SUM(Table7[[#This Row],[STR]:[PER]])</f>
        <v>0</v>
      </c>
    </row>
    <row r="44" spans="20:20" x14ac:dyDescent="0.25">
      <c r="T44" s="1">
        <f>SUM(Table7[[#This Row],[STR]:[PER]])</f>
        <v>0</v>
      </c>
    </row>
    <row r="45" spans="20:20" x14ac:dyDescent="0.25">
      <c r="T45" s="1">
        <f>SUM(Table7[[#This Row],[STR]:[PER]])</f>
        <v>0</v>
      </c>
    </row>
    <row r="46" spans="20:20" x14ac:dyDescent="0.25">
      <c r="T46" s="1">
        <f>SUM(Table7[[#This Row],[STR]:[PER]])</f>
        <v>0</v>
      </c>
    </row>
    <row r="47" spans="20:20" x14ac:dyDescent="0.25">
      <c r="T47" s="1">
        <f>SUM(Table7[[#This Row],[STR]:[PER]])</f>
        <v>0</v>
      </c>
    </row>
    <row r="48" spans="20:20" x14ac:dyDescent="0.25">
      <c r="T48" s="1">
        <f>SUM(Table7[[#This Row],[STR]:[PER]])</f>
        <v>0</v>
      </c>
    </row>
    <row r="49" spans="20:20" x14ac:dyDescent="0.25">
      <c r="T49" s="1">
        <f>SUM(Table7[[#This Row],[STR]:[PER]])</f>
        <v>0</v>
      </c>
    </row>
    <row r="50" spans="20:20" x14ac:dyDescent="0.25">
      <c r="T50" s="1">
        <f>SUM(Table7[[#This Row],[STR]:[PER]])</f>
        <v>0</v>
      </c>
    </row>
    <row r="51" spans="20:20" x14ac:dyDescent="0.25">
      <c r="T51" s="1">
        <f>SUM(Table7[[#This Row],[STR]:[PER]])</f>
        <v>0</v>
      </c>
    </row>
    <row r="52" spans="20:20" x14ac:dyDescent="0.25">
      <c r="T52" s="1">
        <f>SUM(Table7[[#This Row],[STR]:[PER]])</f>
        <v>0</v>
      </c>
    </row>
    <row r="53" spans="20:20" x14ac:dyDescent="0.25">
      <c r="T53" s="1">
        <f>SUM(Table7[[#This Row],[STR]:[PER]])</f>
        <v>0</v>
      </c>
    </row>
    <row r="54" spans="20:20" x14ac:dyDescent="0.25">
      <c r="T54" s="1">
        <f>SUM(Table7[[#This Row],[STR]:[PER]])</f>
        <v>0</v>
      </c>
    </row>
    <row r="55" spans="20:20" x14ac:dyDescent="0.25">
      <c r="T55" s="1">
        <f>SUM(Table7[[#This Row],[STR]:[PER]])</f>
        <v>0</v>
      </c>
    </row>
    <row r="56" spans="20:20" x14ac:dyDescent="0.25">
      <c r="T56" s="1">
        <f>SUM(Table7[[#This Row],[STR]:[PER]])</f>
        <v>0</v>
      </c>
    </row>
    <row r="57" spans="20:20" x14ac:dyDescent="0.25">
      <c r="T57" s="1">
        <f>SUM(Table7[[#This Row],[STR]:[PER]])</f>
        <v>0</v>
      </c>
    </row>
    <row r="58" spans="20:20" x14ac:dyDescent="0.25">
      <c r="T58" s="1">
        <f>SUM(Table7[[#This Row],[STR]:[PER]])</f>
        <v>0</v>
      </c>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429C76-A420-3147-8BFA-58ADE207B00F}">
  <dimension ref="A1:S17"/>
  <sheetViews>
    <sheetView workbookViewId="0">
      <selection activeCell="Q6" sqref="Q6"/>
    </sheetView>
  </sheetViews>
  <sheetFormatPr baseColWidth="10" defaultRowHeight="16" x14ac:dyDescent="0.2"/>
  <cols>
    <col min="1" max="1" width="11.6640625" customWidth="1"/>
    <col min="9" max="9" width="13" customWidth="1"/>
  </cols>
  <sheetData>
    <row r="1" spans="1:19" ht="17" x14ac:dyDescent="0.2">
      <c r="A1" s="8" t="s">
        <v>52</v>
      </c>
      <c r="B1" s="8" t="s">
        <v>58</v>
      </c>
      <c r="C1" s="24" t="s">
        <v>69</v>
      </c>
      <c r="E1" s="8" t="s">
        <v>102</v>
      </c>
      <c r="F1" s="8" t="s">
        <v>52</v>
      </c>
      <c r="G1" s="8" t="s">
        <v>110</v>
      </c>
      <c r="I1" s="9" t="s">
        <v>164</v>
      </c>
      <c r="J1" s="9" t="s">
        <v>121</v>
      </c>
      <c r="K1" s="9" t="s">
        <v>160</v>
      </c>
      <c r="L1" s="9" t="s">
        <v>118</v>
      </c>
      <c r="M1" s="9"/>
      <c r="O1" s="9" t="s">
        <v>164</v>
      </c>
      <c r="P1" s="9" t="s">
        <v>121</v>
      </c>
      <c r="Q1" s="9" t="s">
        <v>160</v>
      </c>
      <c r="R1" s="9" t="s">
        <v>118</v>
      </c>
      <c r="S1" s="9" t="s">
        <v>21</v>
      </c>
    </row>
    <row r="2" spans="1:19" x14ac:dyDescent="0.2">
      <c r="A2" s="8">
        <v>0</v>
      </c>
      <c r="B2" s="8">
        <v>0</v>
      </c>
      <c r="C2" s="8">
        <v>0</v>
      </c>
      <c r="E2" s="8">
        <v>1</v>
      </c>
      <c r="F2" s="8">
        <v>2</v>
      </c>
      <c r="G2" s="8">
        <v>3</v>
      </c>
      <c r="I2" t="s">
        <v>161</v>
      </c>
      <c r="J2" s="8">
        <v>0</v>
      </c>
      <c r="K2" s="8">
        <v>0</v>
      </c>
      <c r="L2" s="8">
        <v>0</v>
      </c>
      <c r="M2" s="8"/>
      <c r="O2" t="s">
        <v>165</v>
      </c>
      <c r="P2" s="8">
        <v>1</v>
      </c>
      <c r="Q2" s="8">
        <v>0</v>
      </c>
      <c r="R2" s="8">
        <v>0</v>
      </c>
      <c r="S2" s="8">
        <v>1</v>
      </c>
    </row>
    <row r="3" spans="1:19" x14ac:dyDescent="0.2">
      <c r="A3" s="8">
        <v>20</v>
      </c>
      <c r="B3" s="8">
        <v>1</v>
      </c>
      <c r="C3" s="8">
        <v>1</v>
      </c>
      <c r="E3" s="8">
        <v>2</v>
      </c>
      <c r="F3" s="8">
        <f>F2+G2</f>
        <v>5</v>
      </c>
      <c r="G3" s="8">
        <v>4</v>
      </c>
      <c r="I3" t="s">
        <v>152</v>
      </c>
      <c r="J3" s="8">
        <v>1</v>
      </c>
      <c r="K3" s="8">
        <v>-1</v>
      </c>
      <c r="L3" s="8">
        <v>-1</v>
      </c>
      <c r="M3" s="8"/>
      <c r="O3" t="s">
        <v>166</v>
      </c>
      <c r="P3" s="8">
        <v>1</v>
      </c>
      <c r="Q3" s="8">
        <v>-1</v>
      </c>
      <c r="R3" s="8">
        <v>-1</v>
      </c>
      <c r="S3" s="8">
        <v>2</v>
      </c>
    </row>
    <row r="4" spans="1:19" x14ac:dyDescent="0.2">
      <c r="A4" s="8">
        <v>25</v>
      </c>
      <c r="B4" s="8">
        <v>2</v>
      </c>
      <c r="C4" s="8">
        <v>1</v>
      </c>
      <c r="E4" s="8">
        <v>3</v>
      </c>
      <c r="F4" s="8">
        <f t="shared" ref="F4:F14" si="0">F3+G3</f>
        <v>9</v>
      </c>
      <c r="G4" s="8">
        <v>5</v>
      </c>
      <c r="I4" t="s">
        <v>162</v>
      </c>
      <c r="J4" s="8">
        <v>2</v>
      </c>
      <c r="K4" s="8">
        <v>-2</v>
      </c>
      <c r="L4" s="8">
        <v>-3</v>
      </c>
      <c r="M4" s="8"/>
      <c r="O4" t="s">
        <v>167</v>
      </c>
      <c r="P4" s="8">
        <v>2</v>
      </c>
      <c r="Q4" s="8">
        <v>-2</v>
      </c>
      <c r="R4" s="8">
        <v>-2</v>
      </c>
      <c r="S4" s="8">
        <v>3</v>
      </c>
    </row>
    <row r="5" spans="1:19" x14ac:dyDescent="0.2">
      <c r="A5" s="8">
        <v>35</v>
      </c>
      <c r="B5" s="8">
        <v>3</v>
      </c>
      <c r="C5" s="8">
        <v>1</v>
      </c>
      <c r="E5" s="8">
        <v>4</v>
      </c>
      <c r="F5" s="8">
        <f t="shared" si="0"/>
        <v>14</v>
      </c>
      <c r="G5" s="8">
        <v>6</v>
      </c>
      <c r="I5" t="s">
        <v>163</v>
      </c>
      <c r="J5" s="8">
        <v>3</v>
      </c>
      <c r="K5" s="8">
        <v>-3</v>
      </c>
      <c r="L5" s="8">
        <v>-5</v>
      </c>
      <c r="M5" s="8"/>
      <c r="O5" t="s">
        <v>168</v>
      </c>
      <c r="P5" s="8">
        <v>3</v>
      </c>
      <c r="Q5" s="8">
        <v>-3</v>
      </c>
      <c r="R5" s="8">
        <v>-3</v>
      </c>
      <c r="S5" s="8">
        <v>4</v>
      </c>
    </row>
    <row r="6" spans="1:19" x14ac:dyDescent="0.2">
      <c r="A6" s="8">
        <v>50</v>
      </c>
      <c r="B6" s="8">
        <v>4</v>
      </c>
      <c r="C6" s="8">
        <v>2</v>
      </c>
      <c r="E6" s="8">
        <v>5</v>
      </c>
      <c r="F6" s="8">
        <f t="shared" si="0"/>
        <v>20</v>
      </c>
      <c r="G6" s="8">
        <v>7</v>
      </c>
      <c r="I6" t="s">
        <v>214</v>
      </c>
      <c r="J6" s="8">
        <v>0</v>
      </c>
      <c r="K6" s="8">
        <v>0</v>
      </c>
      <c r="L6" s="8">
        <v>0</v>
      </c>
      <c r="O6" t="s">
        <v>214</v>
      </c>
      <c r="P6" s="8">
        <v>0</v>
      </c>
      <c r="Q6" s="8">
        <v>0</v>
      </c>
      <c r="R6" s="8">
        <v>0</v>
      </c>
      <c r="S6" s="8">
        <v>0</v>
      </c>
    </row>
    <row r="7" spans="1:19" x14ac:dyDescent="0.2">
      <c r="A7" s="8">
        <v>70</v>
      </c>
      <c r="B7" s="8">
        <v>5</v>
      </c>
      <c r="C7" s="8">
        <v>2</v>
      </c>
      <c r="E7" s="8">
        <v>6</v>
      </c>
      <c r="F7" s="8">
        <f t="shared" si="0"/>
        <v>27</v>
      </c>
      <c r="G7" s="8">
        <v>8</v>
      </c>
      <c r="I7" t="s">
        <v>215</v>
      </c>
      <c r="J7" s="8">
        <v>0</v>
      </c>
      <c r="K7" s="8">
        <v>0</v>
      </c>
      <c r="L7" s="8">
        <v>0</v>
      </c>
      <c r="O7" t="s">
        <v>215</v>
      </c>
      <c r="P7" s="8">
        <v>0</v>
      </c>
      <c r="Q7" s="8">
        <v>0</v>
      </c>
      <c r="R7" s="8">
        <v>0</v>
      </c>
      <c r="S7" s="8">
        <v>0</v>
      </c>
    </row>
    <row r="8" spans="1:19" x14ac:dyDescent="0.2">
      <c r="A8" s="8">
        <v>95</v>
      </c>
      <c r="B8" s="8">
        <v>6</v>
      </c>
      <c r="C8" s="8">
        <v>2</v>
      </c>
      <c r="E8" s="8">
        <v>7</v>
      </c>
      <c r="F8" s="8">
        <f t="shared" si="0"/>
        <v>35</v>
      </c>
      <c r="G8" s="8">
        <v>9</v>
      </c>
      <c r="I8" t="s">
        <v>216</v>
      </c>
      <c r="J8" s="8">
        <v>0</v>
      </c>
      <c r="K8" s="8">
        <v>0</v>
      </c>
      <c r="L8" s="8">
        <v>0</v>
      </c>
      <c r="O8" t="s">
        <v>216</v>
      </c>
      <c r="P8" s="8">
        <v>0</v>
      </c>
      <c r="Q8" s="8">
        <v>0</v>
      </c>
      <c r="R8" s="8">
        <v>0</v>
      </c>
      <c r="S8" s="8">
        <v>0</v>
      </c>
    </row>
    <row r="9" spans="1:19" x14ac:dyDescent="0.2">
      <c r="A9" s="8">
        <v>125</v>
      </c>
      <c r="B9" s="8">
        <v>7</v>
      </c>
      <c r="C9" s="8">
        <v>3</v>
      </c>
      <c r="E9" s="8">
        <v>8</v>
      </c>
      <c r="F9" s="8">
        <f t="shared" si="0"/>
        <v>44</v>
      </c>
      <c r="G9" s="8">
        <v>10</v>
      </c>
      <c r="I9" t="s">
        <v>217</v>
      </c>
      <c r="J9" s="8">
        <v>0</v>
      </c>
      <c r="K9" s="8">
        <v>0</v>
      </c>
      <c r="L9" s="8">
        <v>0</v>
      </c>
      <c r="O9" t="s">
        <v>217</v>
      </c>
      <c r="P9" s="8">
        <v>0</v>
      </c>
      <c r="Q9" s="8">
        <v>0</v>
      </c>
      <c r="R9" s="8">
        <v>0</v>
      </c>
      <c r="S9" s="8">
        <v>0</v>
      </c>
    </row>
    <row r="10" spans="1:19" x14ac:dyDescent="0.2">
      <c r="A10" s="8">
        <v>160</v>
      </c>
      <c r="B10" s="8">
        <v>8</v>
      </c>
      <c r="C10" s="8">
        <v>3</v>
      </c>
      <c r="E10" s="8">
        <v>9</v>
      </c>
      <c r="F10" s="8">
        <f t="shared" si="0"/>
        <v>54</v>
      </c>
      <c r="G10" s="8">
        <v>11</v>
      </c>
      <c r="I10" t="s">
        <v>138</v>
      </c>
      <c r="J10" s="8">
        <v>0</v>
      </c>
      <c r="K10" s="8">
        <v>0</v>
      </c>
      <c r="L10" s="8">
        <v>0</v>
      </c>
      <c r="O10" t="s">
        <v>138</v>
      </c>
      <c r="P10" s="8">
        <v>0</v>
      </c>
      <c r="Q10" s="8">
        <v>0</v>
      </c>
      <c r="R10" s="8">
        <v>0</v>
      </c>
      <c r="S10" s="8">
        <v>0</v>
      </c>
    </row>
    <row r="11" spans="1:19" x14ac:dyDescent="0.2">
      <c r="A11" s="8">
        <v>200</v>
      </c>
      <c r="B11" s="8">
        <v>9</v>
      </c>
      <c r="C11" s="8">
        <v>3</v>
      </c>
      <c r="E11" s="8">
        <v>10</v>
      </c>
      <c r="F11" s="8">
        <f t="shared" si="0"/>
        <v>65</v>
      </c>
      <c r="G11" s="8">
        <v>12</v>
      </c>
    </row>
    <row r="12" spans="1:19" x14ac:dyDescent="0.2">
      <c r="A12" s="8">
        <v>245</v>
      </c>
      <c r="B12" s="8">
        <v>10</v>
      </c>
      <c r="C12" s="8">
        <v>4</v>
      </c>
      <c r="E12" s="8">
        <v>11</v>
      </c>
      <c r="F12" s="8">
        <f t="shared" si="0"/>
        <v>77</v>
      </c>
      <c r="G12" s="8">
        <v>13</v>
      </c>
    </row>
    <row r="13" spans="1:19" x14ac:dyDescent="0.2">
      <c r="A13" s="8">
        <v>290</v>
      </c>
      <c r="B13" s="8">
        <v>11</v>
      </c>
      <c r="C13" s="8">
        <v>4</v>
      </c>
      <c r="E13" s="8">
        <v>12</v>
      </c>
      <c r="F13" s="8">
        <f t="shared" si="0"/>
        <v>90</v>
      </c>
      <c r="G13" s="8">
        <v>14</v>
      </c>
    </row>
    <row r="14" spans="1:19" x14ac:dyDescent="0.2">
      <c r="A14" s="8">
        <v>345</v>
      </c>
      <c r="B14" s="8">
        <v>12</v>
      </c>
      <c r="C14" s="8">
        <v>4</v>
      </c>
      <c r="E14" s="8">
        <v>13</v>
      </c>
      <c r="F14" s="8">
        <f t="shared" si="0"/>
        <v>104</v>
      </c>
      <c r="G14" s="8">
        <v>15</v>
      </c>
    </row>
    <row r="15" spans="1:19" x14ac:dyDescent="0.2">
      <c r="A15" s="8">
        <v>405</v>
      </c>
      <c r="B15" s="8">
        <v>13</v>
      </c>
      <c r="C15" s="8">
        <v>5</v>
      </c>
    </row>
    <row r="17" spans="1:2" x14ac:dyDescent="0.2">
      <c r="A17" t="s">
        <v>75</v>
      </c>
      <c r="B17" s="5">
        <f>VLOOKUP(XP,A2:B15,2,TRUE)</f>
        <v>0</v>
      </c>
    </row>
  </sheetData>
  <pageMargins left="0.7" right="0.7" top="0.75" bottom="0.75" header="0.3" footer="0.3"/>
  <tableParts count="4">
    <tablePart r:id="rId1"/>
    <tablePart r:id="rId2"/>
    <tablePart r:id="rId3"/>
    <tablePart r:id="rId4"/>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079C8F-49C8-9148-A284-24D0B13C28B9}">
  <sheetPr codeName="Sheet4"/>
  <dimension ref="A1:C4"/>
  <sheetViews>
    <sheetView workbookViewId="0">
      <selection activeCell="C5" sqref="C5"/>
    </sheetView>
  </sheetViews>
  <sheetFormatPr baseColWidth="10" defaultRowHeight="16" x14ac:dyDescent="0.2"/>
  <sheetData>
    <row r="1" spans="1:3" x14ac:dyDescent="0.2">
      <c r="A1" t="s">
        <v>27</v>
      </c>
      <c r="C1" t="s">
        <v>164</v>
      </c>
    </row>
    <row r="2" spans="1:3" x14ac:dyDescent="0.2">
      <c r="A2" t="s">
        <v>28</v>
      </c>
      <c r="C2" t="s">
        <v>205</v>
      </c>
    </row>
    <row r="3" spans="1:3" x14ac:dyDescent="0.2">
      <c r="A3" t="s">
        <v>29</v>
      </c>
      <c r="C3" t="s">
        <v>206</v>
      </c>
    </row>
    <row r="4" spans="1:3" x14ac:dyDescent="0.2">
      <c r="C4" t="s">
        <v>207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280EFA-ECF3-804F-AF7A-CBB70278A61B}">
  <dimension ref="A1:S43"/>
  <sheetViews>
    <sheetView tabSelected="1" workbookViewId="0">
      <selection activeCell="F7" sqref="F7"/>
    </sheetView>
  </sheetViews>
  <sheetFormatPr baseColWidth="10" defaultRowHeight="21" x14ac:dyDescent="0.25"/>
  <cols>
    <col min="1" max="1" width="22.5" style="1" customWidth="1"/>
    <col min="2" max="3" width="10.83203125" style="1"/>
    <col min="4" max="4" width="11" style="2" customWidth="1"/>
    <col min="5" max="5" width="11" style="1" customWidth="1"/>
    <col min="6" max="16" width="10.83203125" style="1"/>
    <col min="17" max="17" width="21.33203125" style="1" customWidth="1"/>
    <col min="18" max="18" width="10.83203125" style="1"/>
    <col min="19" max="19" width="80.5" style="1" customWidth="1"/>
    <col min="20" max="16384" width="10.83203125" style="1"/>
  </cols>
  <sheetData>
    <row r="1" spans="1:19" x14ac:dyDescent="0.25">
      <c r="I1" s="117" t="s">
        <v>73</v>
      </c>
      <c r="J1" s="117"/>
      <c r="K1" s="117"/>
      <c r="L1" s="117"/>
      <c r="M1" s="117"/>
      <c r="N1" s="117"/>
      <c r="O1" s="11"/>
    </row>
    <row r="2" spans="1:19" x14ac:dyDescent="0.25">
      <c r="A2" s="12" t="s">
        <v>135</v>
      </c>
      <c r="B2" s="115" t="s">
        <v>182</v>
      </c>
      <c r="C2" s="116"/>
      <c r="E2" s="2"/>
      <c r="F2" s="2"/>
      <c r="G2" s="2"/>
      <c r="I2" s="117"/>
      <c r="J2" s="117"/>
      <c r="K2" s="117"/>
      <c r="L2" s="117"/>
      <c r="M2" s="117"/>
      <c r="N2" s="117"/>
      <c r="O2" s="11"/>
      <c r="Q2" s="1" t="s">
        <v>136</v>
      </c>
      <c r="R2" s="1" t="s">
        <v>52</v>
      </c>
      <c r="S2" s="1" t="s">
        <v>137</v>
      </c>
    </row>
    <row r="3" spans="1:19" x14ac:dyDescent="0.25">
      <c r="A3" s="13" t="s">
        <v>58</v>
      </c>
      <c r="B3" s="113">
        <f>VLOOKUP(TOTAL_XP,XP_LEVEL,2,TRUE)</f>
        <v>0</v>
      </c>
      <c r="C3" s="114"/>
      <c r="D3" s="7"/>
      <c r="E3" s="2"/>
      <c r="F3" s="2"/>
      <c r="G3" s="2"/>
      <c r="I3" s="14" t="s">
        <v>59</v>
      </c>
      <c r="J3" s="14" t="s">
        <v>60</v>
      </c>
      <c r="K3" s="14" t="s">
        <v>52</v>
      </c>
      <c r="L3" s="14" t="s">
        <v>49</v>
      </c>
      <c r="Q3" s="17"/>
      <c r="R3" s="18"/>
    </row>
    <row r="4" spans="1:19" x14ac:dyDescent="0.25">
      <c r="A4" s="12" t="s">
        <v>59</v>
      </c>
      <c r="B4" s="115" t="s">
        <v>138</v>
      </c>
      <c r="C4" s="116"/>
      <c r="E4" s="2"/>
      <c r="F4" s="2"/>
      <c r="G4" s="2"/>
      <c r="I4" s="6">
        <f>VLOOKUP(RACE,RACES,8,FALSE)</f>
        <v>0</v>
      </c>
      <c r="J4" s="6">
        <f>VLOOKUP(PROFESSION,PROFESSIONS,8,FALSE)</f>
        <v>0</v>
      </c>
      <c r="K4" s="6">
        <f>TOTAL_XP_EARNED</f>
        <v>0</v>
      </c>
      <c r="L4" s="6">
        <f>SUM(I4:K4)</f>
        <v>0</v>
      </c>
      <c r="Q4" s="17"/>
      <c r="R4" s="18"/>
    </row>
    <row r="5" spans="1:19" x14ac:dyDescent="0.25">
      <c r="A5" s="13" t="s">
        <v>53</v>
      </c>
      <c r="B5" s="113" t="s">
        <v>138</v>
      </c>
      <c r="C5" s="114"/>
      <c r="E5" s="2"/>
      <c r="F5" s="2"/>
      <c r="G5" s="2"/>
      <c r="Q5" s="17"/>
      <c r="R5" s="18"/>
    </row>
    <row r="6" spans="1:19" x14ac:dyDescent="0.25">
      <c r="A6" s="12" t="s">
        <v>69</v>
      </c>
      <c r="B6" s="115">
        <f>SUM(D6:E6)</f>
        <v>0</v>
      </c>
      <c r="C6" s="116"/>
      <c r="D6" s="2">
        <f>VLOOKUP(TOTAL_XP,XP_LEVEL,3,TRUE)</f>
        <v>0</v>
      </c>
      <c r="E6" s="2">
        <f>FEAT_EXPT</f>
        <v>0</v>
      </c>
      <c r="F6" s="2"/>
      <c r="G6" s="2"/>
      <c r="I6" s="14" t="s">
        <v>61</v>
      </c>
      <c r="J6" s="14" t="s">
        <v>62</v>
      </c>
      <c r="K6" s="14" t="s">
        <v>63</v>
      </c>
      <c r="L6" s="14" t="s">
        <v>65</v>
      </c>
      <c r="M6" s="14" t="s">
        <v>66</v>
      </c>
      <c r="N6" s="14" t="s">
        <v>234</v>
      </c>
      <c r="O6" s="14" t="s">
        <v>49</v>
      </c>
      <c r="Q6" s="17"/>
      <c r="R6" s="18"/>
    </row>
    <row r="7" spans="1:19" x14ac:dyDescent="0.25">
      <c r="A7" s="13" t="s">
        <v>101</v>
      </c>
      <c r="B7" s="113">
        <f>SUM(D7,F7)</f>
        <v>5</v>
      </c>
      <c r="C7" s="114"/>
      <c r="D7" s="2">
        <f>STR * E7 + AGI + INU + CHA + PER</f>
        <v>5</v>
      </c>
      <c r="E7" s="2">
        <f>VLOOKUP(PROFESSION,PROFESSIONS,7,FALSE)</f>
        <v>1</v>
      </c>
      <c r="F7" s="2">
        <f>STAMINA</f>
        <v>0</v>
      </c>
      <c r="G7" s="2"/>
      <c r="I7" s="6">
        <f>Table1[[#Totals],[Code]]</f>
        <v>0</v>
      </c>
      <c r="J7" s="6">
        <f>Table2[[#Totals],[Statistic]]</f>
        <v>0</v>
      </c>
      <c r="K7" s="6">
        <v>0</v>
      </c>
      <c r="L7" s="6">
        <v>0</v>
      </c>
      <c r="M7" s="6">
        <v>0</v>
      </c>
      <c r="N7" s="6">
        <f>SPELL_XP</f>
        <v>0</v>
      </c>
      <c r="O7" s="6">
        <f>SUM(I7:N7)</f>
        <v>0</v>
      </c>
      <c r="Q7" s="17"/>
      <c r="R7" s="18"/>
    </row>
    <row r="8" spans="1:19" x14ac:dyDescent="0.25">
      <c r="A8" s="12" t="s">
        <v>118</v>
      </c>
      <c r="B8" s="115">
        <f>SUM(D8:E8)</f>
        <v>10</v>
      </c>
      <c r="C8" s="116"/>
      <c r="D8" s="2">
        <v>10</v>
      </c>
      <c r="E8" s="2">
        <f>FEAT_MOVEMENT</f>
        <v>0</v>
      </c>
      <c r="F8" s="2"/>
      <c r="G8" s="2"/>
      <c r="Q8" s="17"/>
      <c r="R8" s="18"/>
    </row>
    <row r="9" spans="1:19" x14ac:dyDescent="0.25">
      <c r="A9" s="13" t="s">
        <v>121</v>
      </c>
      <c r="B9" s="113">
        <f>FEAT_ARMOR</f>
        <v>0</v>
      </c>
      <c r="C9" s="114"/>
      <c r="E9" s="2"/>
      <c r="F9" s="2"/>
      <c r="G9" s="2"/>
      <c r="I9" s="15" t="s">
        <v>74</v>
      </c>
      <c r="K9" s="16">
        <f>L4-O7</f>
        <v>0</v>
      </c>
      <c r="Q9" s="17"/>
      <c r="R9" s="18"/>
    </row>
    <row r="10" spans="1:19" x14ac:dyDescent="0.25">
      <c r="A10" s="12" t="s">
        <v>122</v>
      </c>
      <c r="B10" s="115">
        <f>FEAT_AURA</f>
        <v>0</v>
      </c>
      <c r="C10" s="116"/>
      <c r="E10" s="2"/>
      <c r="F10" s="2"/>
      <c r="G10" s="2"/>
      <c r="Q10" s="17"/>
      <c r="R10" s="18"/>
    </row>
    <row r="11" spans="1:19" x14ac:dyDescent="0.25">
      <c r="A11" s="13" t="s">
        <v>208</v>
      </c>
      <c r="B11" s="113">
        <f>D11+E11</f>
        <v>20</v>
      </c>
      <c r="C11" s="114"/>
      <c r="D11" s="2">
        <v>20</v>
      </c>
      <c r="E11" s="2" t="str">
        <f>FEAT_INI</f>
        <v>0</v>
      </c>
      <c r="F11" s="2"/>
      <c r="G11" s="2"/>
      <c r="Q11" s="17"/>
      <c r="R11" s="18"/>
    </row>
    <row r="12" spans="1:19" x14ac:dyDescent="0.25">
      <c r="A12" s="12" t="s">
        <v>209</v>
      </c>
      <c r="B12" s="115">
        <f>D12+E12</f>
        <v>3</v>
      </c>
      <c r="C12" s="116"/>
      <c r="D12" s="2">
        <v>3</v>
      </c>
      <c r="E12" s="2">
        <f>FEAT_AP</f>
        <v>0</v>
      </c>
      <c r="F12" s="2"/>
      <c r="G12" s="2"/>
      <c r="Q12" s="17"/>
      <c r="R12" s="18"/>
    </row>
    <row r="13" spans="1:19" x14ac:dyDescent="0.25">
      <c r="A13" s="13"/>
      <c r="B13" s="113"/>
      <c r="C13" s="114"/>
      <c r="E13" s="2"/>
      <c r="F13" s="2"/>
      <c r="G13" s="2"/>
      <c r="Q13" s="17"/>
      <c r="R13" s="18"/>
    </row>
    <row r="14" spans="1:19" x14ac:dyDescent="0.25">
      <c r="A14" s="12"/>
      <c r="B14" s="115"/>
      <c r="C14" s="116"/>
      <c r="E14" s="2"/>
      <c r="F14" s="2"/>
      <c r="G14" s="2"/>
      <c r="Q14" s="17"/>
      <c r="R14" s="18"/>
    </row>
    <row r="15" spans="1:19" x14ac:dyDescent="0.25">
      <c r="A15" s="13"/>
      <c r="B15" s="113"/>
      <c r="C15" s="114"/>
      <c r="E15" s="2"/>
      <c r="F15" s="2"/>
      <c r="G15" s="2"/>
      <c r="Q15" s="17"/>
      <c r="R15" s="18"/>
    </row>
    <row r="16" spans="1:19" x14ac:dyDescent="0.25">
      <c r="A16" s="12"/>
      <c r="B16" s="115"/>
      <c r="C16" s="116"/>
      <c r="E16" s="2"/>
      <c r="F16" s="2"/>
      <c r="G16" s="2"/>
      <c r="Q16" s="17"/>
      <c r="R16" s="18"/>
    </row>
    <row r="17" spans="1:18" x14ac:dyDescent="0.25">
      <c r="A17" s="13"/>
      <c r="B17" s="113"/>
      <c r="C17" s="114"/>
      <c r="E17" s="2"/>
      <c r="F17" s="2"/>
      <c r="G17" s="2"/>
      <c r="Q17" s="17"/>
      <c r="R17" s="18"/>
    </row>
    <row r="18" spans="1:18" x14ac:dyDescent="0.25">
      <c r="A18" s="12"/>
      <c r="B18" s="115"/>
      <c r="C18" s="116"/>
      <c r="E18" s="2"/>
      <c r="F18" s="2"/>
      <c r="G18" s="2"/>
      <c r="Q18" s="17"/>
      <c r="R18" s="18"/>
    </row>
    <row r="19" spans="1:18" x14ac:dyDescent="0.25">
      <c r="A19" s="13"/>
      <c r="B19" s="113"/>
      <c r="C19" s="114"/>
      <c r="E19" s="2"/>
      <c r="F19" s="2"/>
      <c r="G19" s="2"/>
      <c r="Q19" s="17"/>
      <c r="R19" s="18"/>
    </row>
    <row r="20" spans="1:18" x14ac:dyDescent="0.25">
      <c r="A20" s="12"/>
      <c r="B20" s="115"/>
      <c r="C20" s="116"/>
      <c r="E20" s="2"/>
      <c r="F20" s="2"/>
      <c r="G20" s="2"/>
      <c r="Q20" s="17"/>
      <c r="R20" s="18"/>
    </row>
    <row r="21" spans="1:18" x14ac:dyDescent="0.25">
      <c r="A21" s="13"/>
      <c r="B21" s="113"/>
      <c r="C21" s="114"/>
      <c r="E21" s="2"/>
      <c r="F21" s="2"/>
      <c r="G21" s="2"/>
      <c r="Q21" s="17"/>
      <c r="R21" s="18"/>
    </row>
    <row r="22" spans="1:18" x14ac:dyDescent="0.25">
      <c r="Q22" s="17"/>
      <c r="R22" s="18"/>
    </row>
    <row r="23" spans="1:18" x14ac:dyDescent="0.25">
      <c r="Q23" s="17"/>
      <c r="R23" s="18"/>
    </row>
    <row r="24" spans="1:18" x14ac:dyDescent="0.25">
      <c r="Q24" s="17"/>
      <c r="R24" s="18"/>
    </row>
    <row r="25" spans="1:18" x14ac:dyDescent="0.25">
      <c r="Q25" s="17"/>
      <c r="R25" s="18"/>
    </row>
    <row r="26" spans="1:18" x14ac:dyDescent="0.25">
      <c r="Q26" s="17"/>
      <c r="R26" s="18"/>
    </row>
    <row r="27" spans="1:18" x14ac:dyDescent="0.25">
      <c r="Q27" s="17"/>
      <c r="R27" s="18"/>
    </row>
    <row r="28" spans="1:18" x14ac:dyDescent="0.25">
      <c r="Q28" s="17"/>
      <c r="R28" s="18"/>
    </row>
    <row r="29" spans="1:18" x14ac:dyDescent="0.25">
      <c r="Q29" s="17"/>
      <c r="R29" s="18"/>
    </row>
    <row r="30" spans="1:18" x14ac:dyDescent="0.25">
      <c r="Q30" s="17"/>
      <c r="R30" s="18"/>
    </row>
    <row r="31" spans="1:18" x14ac:dyDescent="0.25">
      <c r="Q31" s="17"/>
      <c r="R31" s="18"/>
    </row>
    <row r="32" spans="1:18" x14ac:dyDescent="0.25">
      <c r="Q32" s="17"/>
      <c r="R32" s="18"/>
    </row>
    <row r="33" spans="17:18" x14ac:dyDescent="0.25">
      <c r="Q33" s="17"/>
      <c r="R33" s="18"/>
    </row>
    <row r="34" spans="17:18" x14ac:dyDescent="0.25">
      <c r="Q34" s="17"/>
      <c r="R34" s="18"/>
    </row>
    <row r="35" spans="17:18" x14ac:dyDescent="0.25">
      <c r="Q35" s="17"/>
      <c r="R35" s="18"/>
    </row>
    <row r="36" spans="17:18" x14ac:dyDescent="0.25">
      <c r="Q36" s="17"/>
      <c r="R36" s="18"/>
    </row>
    <row r="37" spans="17:18" x14ac:dyDescent="0.25">
      <c r="Q37" s="17"/>
      <c r="R37" s="18"/>
    </row>
    <row r="38" spans="17:18" x14ac:dyDescent="0.25">
      <c r="Q38" s="17"/>
      <c r="R38" s="18"/>
    </row>
    <row r="39" spans="17:18" x14ac:dyDescent="0.25">
      <c r="Q39" s="17"/>
      <c r="R39" s="18"/>
    </row>
    <row r="40" spans="17:18" x14ac:dyDescent="0.25">
      <c r="Q40" s="17"/>
      <c r="R40" s="18"/>
    </row>
    <row r="41" spans="17:18" x14ac:dyDescent="0.25">
      <c r="Q41" s="17"/>
      <c r="R41" s="18"/>
    </row>
    <row r="42" spans="17:18" x14ac:dyDescent="0.25">
      <c r="Q42" s="17"/>
      <c r="R42" s="18"/>
    </row>
    <row r="43" spans="17:18" x14ac:dyDescent="0.25">
      <c r="Q43" s="1" t="s">
        <v>49</v>
      </c>
      <c r="R43" s="10">
        <f>SUBTOTAL(109,Table11[XP])</f>
        <v>0</v>
      </c>
    </row>
  </sheetData>
  <mergeCells count="21">
    <mergeCell ref="B12:C12"/>
    <mergeCell ref="I1:N2"/>
    <mergeCell ref="B2:C2"/>
    <mergeCell ref="B3:C3"/>
    <mergeCell ref="B4:C4"/>
    <mergeCell ref="B5:C5"/>
    <mergeCell ref="B6:C6"/>
    <mergeCell ref="B7:C7"/>
    <mergeCell ref="B8:C8"/>
    <mergeCell ref="B9:C9"/>
    <mergeCell ref="B10:C10"/>
    <mergeCell ref="B11:C11"/>
    <mergeCell ref="B19:C19"/>
    <mergeCell ref="B20:C20"/>
    <mergeCell ref="B21:C21"/>
    <mergeCell ref="B13:C13"/>
    <mergeCell ref="B14:C14"/>
    <mergeCell ref="B15:C15"/>
    <mergeCell ref="B16:C16"/>
    <mergeCell ref="B17:C17"/>
    <mergeCell ref="B18:C18"/>
  </mergeCells>
  <pageMargins left="0.7" right="0.7" top="0.75" bottom="0.75" header="0.3" footer="0.3"/>
  <ignoredErrors>
    <ignoredError sqref="B7" formula="1"/>
  </ignoredErrors>
  <tableParts count="1">
    <tablePart r:id="rId1"/>
  </tableParts>
  <extLst>
    <ext xmlns:x14="http://schemas.microsoft.com/office/spreadsheetml/2009/9/main" uri="{CCE6A557-97BC-4b89-ADB6-D9C93CAAB3DF}">
      <x14:dataValidations xmlns:xm="http://schemas.microsoft.com/office/excel/2006/main" count="2">
        <x14:dataValidation type="list" allowBlank="1" showInputMessage="1" showErrorMessage="1" xr:uid="{3A3281DD-9C22-1A4F-AA6E-D0C10C411E79}">
          <x14:formula1>
            <xm:f>Classes!$A$2:$A$58</xm:f>
          </x14:formula1>
          <xm:sqref>B5:C5</xm:sqref>
        </x14:dataValidation>
        <x14:dataValidation type="list" allowBlank="1" showInputMessage="1" showErrorMessage="1" xr:uid="{EBF30D22-7BD5-C94F-8399-BD70AE26BA8F}">
          <x14:formula1>
            <xm:f>Races!$A$2:$A$33</xm:f>
          </x14:formula1>
          <xm:sqref>B4:C4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7AAE25-6317-2146-A0D9-9C1F7F0713FB}">
  <sheetPr codeName="Sheet2"/>
  <dimension ref="A1:O7"/>
  <sheetViews>
    <sheetView workbookViewId="0">
      <selection activeCell="O15" sqref="O15"/>
    </sheetView>
  </sheetViews>
  <sheetFormatPr baseColWidth="10" defaultRowHeight="21" x14ac:dyDescent="0.25"/>
  <cols>
    <col min="1" max="1" width="20.1640625" style="1" customWidth="1"/>
    <col min="2" max="5" width="15.1640625" style="2" customWidth="1"/>
    <col min="6" max="11" width="10.83203125" style="2"/>
    <col min="12" max="12" width="11.33203125" style="2" customWidth="1"/>
    <col min="13" max="14" width="10.83203125" style="1"/>
    <col min="15" max="15" width="21.6640625" style="1" customWidth="1"/>
    <col min="16" max="16384" width="10.83203125" style="1"/>
  </cols>
  <sheetData>
    <row r="1" spans="1:15" x14ac:dyDescent="0.25">
      <c r="A1" s="1" t="s">
        <v>22</v>
      </c>
      <c r="B1" s="2" t="s">
        <v>35</v>
      </c>
      <c r="C1" s="2" t="s">
        <v>23</v>
      </c>
      <c r="D1" s="2" t="s">
        <v>24</v>
      </c>
      <c r="E1" s="2" t="s">
        <v>25</v>
      </c>
      <c r="F1" s="3" t="s">
        <v>42</v>
      </c>
      <c r="G1" s="2" t="s">
        <v>47</v>
      </c>
      <c r="H1" s="2" t="s">
        <v>50</v>
      </c>
      <c r="I1" s="2" t="s">
        <v>48</v>
      </c>
      <c r="J1" s="2" t="s">
        <v>45</v>
      </c>
      <c r="K1" s="2" t="s">
        <v>88</v>
      </c>
      <c r="L1" s="2" t="s">
        <v>46</v>
      </c>
      <c r="M1" s="2" t="s">
        <v>44</v>
      </c>
      <c r="N1" s="2" t="s">
        <v>40</v>
      </c>
      <c r="O1" s="2" t="s">
        <v>181</v>
      </c>
    </row>
    <row r="2" spans="1:15" x14ac:dyDescent="0.25">
      <c r="A2" s="1" t="s">
        <v>76</v>
      </c>
      <c r="B2" s="2" t="s">
        <v>36</v>
      </c>
      <c r="C2" s="2" t="s">
        <v>29</v>
      </c>
      <c r="D2" s="2" t="s">
        <v>29</v>
      </c>
      <c r="E2" s="2" t="s">
        <v>29</v>
      </c>
      <c r="F2" s="3" t="str">
        <f>IF(C2="Yes","1d20","1d10")</f>
        <v>1d10</v>
      </c>
      <c r="G2" s="2">
        <v>5</v>
      </c>
      <c r="H2" s="2">
        <f>VLOOKUP(RACE,RACES,2,FALSE)</f>
        <v>0</v>
      </c>
      <c r="I2" s="2">
        <f>VLOOKUP(PROF,Table7[],2,FALSE)</f>
        <v>0</v>
      </c>
      <c r="J2" s="2">
        <f>ARMOR_STR</f>
        <v>0</v>
      </c>
      <c r="K2" s="2">
        <f>WEAPON_STR</f>
        <v>0</v>
      </c>
      <c r="L2" s="2">
        <v>0</v>
      </c>
      <c r="M2" s="2">
        <f>SUM(Table1[[#This Row],[START]:[BONUS]])</f>
        <v>5</v>
      </c>
      <c r="N2" s="2">
        <f>ROUNDUP(Table1[[#This Row],[TOTAL]]/10, 0)</f>
        <v>1</v>
      </c>
      <c r="O2" s="2" t="str">
        <f>Table1[[#This Row],[DICE]] &amp; " " &amp; CHAR(43) &amp; " " &amp; IF(Table1[[#This Row],[Skilled]] = "Yes",LVL,0) + IF(Table1[[#This Row],[Expert]]="Yes",EXPERTISE,0)</f>
        <v>1d10 + 0</v>
      </c>
    </row>
    <row r="3" spans="1:15" x14ac:dyDescent="0.25">
      <c r="A3" s="1" t="s">
        <v>31</v>
      </c>
      <c r="B3" s="2" t="s">
        <v>37</v>
      </c>
      <c r="C3" s="2" t="s">
        <v>29</v>
      </c>
      <c r="D3" s="2" t="s">
        <v>29</v>
      </c>
      <c r="E3" s="2" t="s">
        <v>29</v>
      </c>
      <c r="F3" s="3" t="str">
        <f t="shared" ref="F3:F6" si="0">IF(C3="Yes","1d20","1d10")</f>
        <v>1d10</v>
      </c>
      <c r="G3" s="2">
        <v>5</v>
      </c>
      <c r="H3" s="2">
        <f>VLOOKUP(RACE,RACES,3,FALSE)</f>
        <v>0</v>
      </c>
      <c r="I3" s="2">
        <f>VLOOKUP(PROF,Table7[],3,FALSE)</f>
        <v>0</v>
      </c>
      <c r="J3" s="2">
        <f>ARMOR_AGI</f>
        <v>0</v>
      </c>
      <c r="K3" s="2">
        <f>WEAPON_AGI</f>
        <v>0</v>
      </c>
      <c r="L3" s="2">
        <v>0</v>
      </c>
      <c r="M3" s="2">
        <f>SUM(Table1[[#This Row],[START]:[BONUS]])</f>
        <v>5</v>
      </c>
      <c r="N3" s="2">
        <f>ROUNDUP(Table1[[#This Row],[TOTAL]]/10, 0)</f>
        <v>1</v>
      </c>
      <c r="O3" s="2" t="str">
        <f>Table1[[#This Row],[DICE]] &amp; " " &amp; CHAR(43) &amp; " " &amp; IF(Table1[[#This Row],[Skilled]] = "Yes",LVL,0) + IF(Table1[[#This Row],[Expert]]="Yes",EXPERTISE,0)</f>
        <v>1d10 + 0</v>
      </c>
    </row>
    <row r="4" spans="1:15" x14ac:dyDescent="0.25">
      <c r="A4" s="1" t="s">
        <v>32</v>
      </c>
      <c r="B4" s="2" t="s">
        <v>38</v>
      </c>
      <c r="C4" s="2" t="s">
        <v>29</v>
      </c>
      <c r="D4" s="2" t="s">
        <v>29</v>
      </c>
      <c r="E4" s="2" t="s">
        <v>29</v>
      </c>
      <c r="F4" s="3" t="str">
        <f t="shared" si="0"/>
        <v>1d10</v>
      </c>
      <c r="G4" s="2">
        <v>5</v>
      </c>
      <c r="H4" s="2">
        <f>VLOOKUP(RACE,RACES,4,FALSE)</f>
        <v>0</v>
      </c>
      <c r="I4" s="2">
        <f>VLOOKUP(PROF,Table7[],4,FALSE)</f>
        <v>0</v>
      </c>
      <c r="J4" s="2">
        <f>ARMOR_INU</f>
        <v>0</v>
      </c>
      <c r="K4" s="2">
        <f>WEAPON_INU</f>
        <v>0</v>
      </c>
      <c r="L4" s="2">
        <v>0</v>
      </c>
      <c r="M4" s="2">
        <f>SUM(Table1[[#This Row],[START]:[BONUS]])</f>
        <v>5</v>
      </c>
      <c r="N4" s="2">
        <f>ROUNDUP(Table1[[#This Row],[TOTAL]]/10, 0)</f>
        <v>1</v>
      </c>
      <c r="O4" s="2" t="str">
        <f>Table1[[#This Row],[DICE]] &amp; " " &amp; CHAR(43) &amp; " " &amp; IF(Table1[[#This Row],[Skilled]] = "Yes",LVL,0) + IF(Table1[[#This Row],[Expert]]="Yes",EXPERTISE,0)</f>
        <v>1d10 + 0</v>
      </c>
    </row>
    <row r="5" spans="1:15" x14ac:dyDescent="0.25">
      <c r="A5" s="1" t="s">
        <v>54</v>
      </c>
      <c r="B5" s="2" t="s">
        <v>55</v>
      </c>
      <c r="C5" s="2" t="s">
        <v>29</v>
      </c>
      <c r="D5" s="2" t="s">
        <v>29</v>
      </c>
      <c r="E5" s="2" t="s">
        <v>29</v>
      </c>
      <c r="F5" s="3" t="s">
        <v>56</v>
      </c>
      <c r="G5" s="2">
        <v>5</v>
      </c>
      <c r="H5" s="2">
        <f>VLOOKUP(RACE,RACES,5,FALSE)</f>
        <v>0</v>
      </c>
      <c r="I5" s="2">
        <f>VLOOKUP(PROF,Table7[],5,FALSE)</f>
        <v>0</v>
      </c>
      <c r="J5" s="2">
        <f>ARMOR_CHA</f>
        <v>0</v>
      </c>
      <c r="K5" s="2">
        <f>WEAPON_CHA</f>
        <v>0</v>
      </c>
      <c r="L5" s="2">
        <v>0</v>
      </c>
      <c r="M5" s="2">
        <f>SUM(Table1[[#This Row],[START]:[BONUS]])</f>
        <v>5</v>
      </c>
      <c r="N5" s="2">
        <f>ROUNDUP(Table1[[#This Row],[TOTAL]]/10, 0)</f>
        <v>1</v>
      </c>
      <c r="O5" s="2" t="str">
        <f>Table1[[#This Row],[DICE]] &amp; " " &amp; CHAR(43) &amp; " " &amp; IF(Table1[[#This Row],[Skilled]] = "Yes",LVL,0) + IF(Table1[[#This Row],[Expert]]="Yes",EXPERTISE,0)</f>
        <v>1d10 + 0</v>
      </c>
    </row>
    <row r="6" spans="1:15" x14ac:dyDescent="0.25">
      <c r="A6" s="1" t="s">
        <v>33</v>
      </c>
      <c r="B6" s="2" t="s">
        <v>39</v>
      </c>
      <c r="C6" s="2" t="s">
        <v>29</v>
      </c>
      <c r="D6" s="2" t="s">
        <v>29</v>
      </c>
      <c r="E6" s="2" t="s">
        <v>29</v>
      </c>
      <c r="F6" s="3" t="str">
        <f t="shared" si="0"/>
        <v>1d10</v>
      </c>
      <c r="G6" s="2">
        <v>5</v>
      </c>
      <c r="H6" s="2">
        <f>VLOOKUP(RACE,RACES,6,FALSE)</f>
        <v>0</v>
      </c>
      <c r="I6" s="2">
        <f>VLOOKUP(PROF,Table7[],6,FALSE)</f>
        <v>0</v>
      </c>
      <c r="J6" s="2">
        <f>ARMOR_PER</f>
        <v>0</v>
      </c>
      <c r="K6" s="2">
        <f>WEAPON_PER</f>
        <v>0</v>
      </c>
      <c r="L6" s="2">
        <v>0</v>
      </c>
      <c r="M6" s="2">
        <f>SUM(Table1[[#This Row],[START]:[BONUS]])</f>
        <v>5</v>
      </c>
      <c r="N6" s="2">
        <f>ROUNDUP(Table1[[#This Row],[TOTAL]]/10, 0)</f>
        <v>1</v>
      </c>
      <c r="O6" s="2" t="str">
        <f>Table1[[#This Row],[DICE]] &amp; " " &amp; CHAR(43) &amp; " " &amp; IF(Table1[[#This Row],[Skilled]] = "Yes",LVL,0) + IF(Table1[[#This Row],[Expert]]="Yes",EXPERTISE,0)</f>
        <v>1d10 + 0</v>
      </c>
    </row>
    <row r="7" spans="1:15" x14ac:dyDescent="0.25">
      <c r="A7" s="1" t="s">
        <v>51</v>
      </c>
      <c r="B7" s="2">
        <f>SUM(Table1[[#Totals],[Bought]:[Expert]])</f>
        <v>0</v>
      </c>
      <c r="C7" s="2">
        <f>COUNTIF(Table1[Bought], "Yes") * 2</f>
        <v>0</v>
      </c>
      <c r="D7" s="2">
        <f>COUNTIF(Table1[Skilled], "Yes") * 3</f>
        <v>0</v>
      </c>
      <c r="E7" s="2">
        <f>COUNTIF(Table1[Expert], "Yes") * 3</f>
        <v>0</v>
      </c>
      <c r="F7" s="3"/>
      <c r="M7" s="2"/>
      <c r="N7" s="2"/>
      <c r="O7" s="2"/>
    </row>
  </sheetData>
  <conditionalFormatting sqref="C2:E6">
    <cfRule type="containsText" dxfId="14" priority="8" operator="containsText" text="No">
      <formula>NOT(ISERROR(SEARCH("No",C2)))</formula>
    </cfRule>
  </conditionalFormatting>
  <conditionalFormatting sqref="F2:F6">
    <cfRule type="containsText" dxfId="13" priority="7" operator="containsText" text="1d10">
      <formula>NOT(ISERROR(SEARCH("1d10",F2)))</formula>
    </cfRule>
  </conditionalFormatting>
  <conditionalFormatting sqref="J5:L6 H2:L3 I4:L4">
    <cfRule type="cellIs" dxfId="12" priority="6" operator="equal">
      <formula>0</formula>
    </cfRule>
  </conditionalFormatting>
  <conditionalFormatting sqref="I5">
    <cfRule type="cellIs" dxfId="11" priority="5" operator="equal">
      <formula>0</formula>
    </cfRule>
  </conditionalFormatting>
  <conditionalFormatting sqref="I6">
    <cfRule type="cellIs" dxfId="10" priority="4" operator="equal">
      <formula>0</formula>
    </cfRule>
  </conditionalFormatting>
  <conditionalFormatting sqref="H4">
    <cfRule type="cellIs" dxfId="9" priority="3" operator="equal">
      <formula>0</formula>
    </cfRule>
  </conditionalFormatting>
  <conditionalFormatting sqref="H5">
    <cfRule type="cellIs" dxfId="8" priority="2" operator="equal">
      <formula>0</formula>
    </cfRule>
  </conditionalFormatting>
  <conditionalFormatting sqref="H6">
    <cfRule type="cellIs" dxfId="7" priority="1" operator="equal">
      <formula>0</formula>
    </cfRule>
  </conditionalFormatting>
  <dataValidations count="1">
    <dataValidation type="list" allowBlank="1" showInputMessage="1" showErrorMessage="1" sqref="C2:E6" xr:uid="{D2B2CB8B-73D6-9446-A4B1-DF81A2F001CB}">
      <formula1>Yes_No</formula1>
    </dataValidation>
  </dataValidations>
  <pageMargins left="0.7" right="0.7" top="0.75" bottom="0.75" header="0.3" footer="0.3"/>
  <ignoredErrors>
    <ignoredError sqref="I2:I6" calculatedColumn="1"/>
  </ignoredErrors>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B03D6B-2585-4B4C-9976-E5F4DD267D5F}">
  <sheetPr codeName="Sheet3"/>
  <dimension ref="A1:Y44"/>
  <sheetViews>
    <sheetView workbookViewId="0">
      <selection activeCell="C35" sqref="C35"/>
    </sheetView>
  </sheetViews>
  <sheetFormatPr baseColWidth="10" defaultRowHeight="21" x14ac:dyDescent="0.25"/>
  <cols>
    <col min="1" max="1" width="20.1640625" style="1" customWidth="1"/>
    <col min="2" max="2" width="20.1640625" style="2" customWidth="1"/>
    <col min="3" max="6" width="18" style="2" customWidth="1"/>
    <col min="7" max="10" width="12.1640625" style="2" customWidth="1"/>
    <col min="11" max="11" width="23" style="2" customWidth="1"/>
    <col min="12" max="16384" width="10.83203125" style="1"/>
  </cols>
  <sheetData>
    <row r="1" spans="1:25" x14ac:dyDescent="0.25">
      <c r="A1" s="1" t="s">
        <v>22</v>
      </c>
      <c r="B1" s="2" t="s">
        <v>34</v>
      </c>
      <c r="C1" s="2" t="s">
        <v>23</v>
      </c>
      <c r="D1" s="2" t="s">
        <v>24</v>
      </c>
      <c r="E1" s="2" t="s">
        <v>26</v>
      </c>
      <c r="F1" s="2" t="s">
        <v>25</v>
      </c>
      <c r="G1" s="4" t="s">
        <v>42</v>
      </c>
      <c r="H1" s="2" t="s">
        <v>40</v>
      </c>
      <c r="I1" s="2" t="s">
        <v>41</v>
      </c>
      <c r="J1" s="2" t="s">
        <v>43</v>
      </c>
      <c r="K1" s="2" t="s">
        <v>44</v>
      </c>
    </row>
    <row r="2" spans="1:25" x14ac:dyDescent="0.25">
      <c r="A2" s="1" t="s">
        <v>0</v>
      </c>
      <c r="B2" s="2" t="s">
        <v>36</v>
      </c>
      <c r="C2" s="2" t="s">
        <v>29</v>
      </c>
      <c r="D2" s="2" t="s">
        <v>29</v>
      </c>
      <c r="E2" s="2" t="s">
        <v>29</v>
      </c>
      <c r="F2" s="2" t="s">
        <v>29</v>
      </c>
      <c r="G2" s="4" t="str">
        <f t="shared" ref="G2:G25" si="0">IF(C2="Yes","1d20","1d10")</f>
        <v>1d10</v>
      </c>
      <c r="H2" s="2">
        <f>IF(Table2[[#This Row],[Skilled]] = "YES",VLOOKUP(Table2[[#This Row],[Statistic]],Table1[[Code]:[STAT]],13,FALSE), 0)</f>
        <v>0</v>
      </c>
      <c r="I2" s="2">
        <f>IF(Table2[[#This Row],[Professional]]="Yes",LVL,0)</f>
        <v>0</v>
      </c>
      <c r="J2" s="2">
        <f>IF(Table2[[#This Row],[Expert]]="Yes", EXPERTISE, 0)</f>
        <v>0</v>
      </c>
      <c r="K2" s="2" t="str">
        <f>Table2[[#This Row],[DICE]] &amp; " " &amp; CHAR(43) &amp; " " &amp; SUM(H2:J2)</f>
        <v>1d10 + 0</v>
      </c>
    </row>
    <row r="3" spans="1:25" x14ac:dyDescent="0.25">
      <c r="A3" s="1" t="s">
        <v>1</v>
      </c>
      <c r="B3" s="2" t="s">
        <v>36</v>
      </c>
      <c r="C3" s="2" t="s">
        <v>29</v>
      </c>
      <c r="D3" s="2" t="s">
        <v>29</v>
      </c>
      <c r="E3" s="2" t="s">
        <v>29</v>
      </c>
      <c r="F3" s="2" t="s">
        <v>29</v>
      </c>
      <c r="G3" s="4" t="str">
        <f t="shared" si="0"/>
        <v>1d10</v>
      </c>
      <c r="H3" s="2">
        <f>IF(Table2[[#This Row],[Skilled]] = "YES",VLOOKUP(Table2[[#This Row],[Statistic]],Table1[[Code]:[STAT]],13,FALSE), 0)</f>
        <v>0</v>
      </c>
      <c r="I3" s="2">
        <f>IF(Table2[[#This Row],[Professional]]="Yes",LVL,0)</f>
        <v>0</v>
      </c>
      <c r="J3" s="2">
        <v>0</v>
      </c>
      <c r="K3" s="2" t="str">
        <f>Table2[[#This Row],[DICE]] &amp; " " &amp; CHAR(43) &amp; " " &amp; SUM(H3:J3)</f>
        <v>1d10 + 0</v>
      </c>
    </row>
    <row r="4" spans="1:25" x14ac:dyDescent="0.25">
      <c r="A4" s="1" t="s">
        <v>21</v>
      </c>
      <c r="B4" s="2" t="s">
        <v>37</v>
      </c>
      <c r="C4" s="2" t="s">
        <v>29</v>
      </c>
      <c r="D4" s="2" t="s">
        <v>29</v>
      </c>
      <c r="E4" s="2" t="s">
        <v>29</v>
      </c>
      <c r="F4" s="2" t="s">
        <v>29</v>
      </c>
      <c r="G4" s="4" t="str">
        <f t="shared" si="0"/>
        <v>1d10</v>
      </c>
      <c r="H4" s="2">
        <f>IF(Table2[[#This Row],[Skilled]] = "YES",VLOOKUP(Table2[[#This Row],[Statistic]],Table1[[Code]:[STAT]],13,FALSE), 0)</f>
        <v>0</v>
      </c>
      <c r="I4" s="2">
        <f>IF(Table2[[#This Row],[Professional]]="Yes",LVL,0)</f>
        <v>0</v>
      </c>
      <c r="J4" s="2">
        <v>0</v>
      </c>
      <c r="K4" s="2" t="str">
        <f>Table2[[#This Row],[DICE]] &amp; " " &amp; CHAR(43) &amp; " " &amp; SUM(H4:J4) + ARMOR_DODGE</f>
        <v>1d10 + 0</v>
      </c>
    </row>
    <row r="5" spans="1:25" x14ac:dyDescent="0.25">
      <c r="A5" s="1" t="s">
        <v>2</v>
      </c>
      <c r="B5" s="2" t="s">
        <v>37</v>
      </c>
      <c r="C5" s="2" t="s">
        <v>29</v>
      </c>
      <c r="D5" s="2" t="s">
        <v>29</v>
      </c>
      <c r="E5" s="2" t="s">
        <v>29</v>
      </c>
      <c r="F5" s="2" t="s">
        <v>29</v>
      </c>
      <c r="G5" s="4" t="str">
        <f t="shared" si="0"/>
        <v>1d10</v>
      </c>
      <c r="H5" s="2">
        <f>IF(Table2[[#This Row],[Skilled]] = "YES",VLOOKUP(Table2[[#This Row],[Statistic]],Table1[[Code]:[STAT]],13,FALSE), 0)</f>
        <v>0</v>
      </c>
      <c r="I5" s="2">
        <f>IF(Table2[[#This Row],[Professional]]="Yes",LVL,0)</f>
        <v>0</v>
      </c>
      <c r="J5" s="2">
        <v>0</v>
      </c>
      <c r="K5" s="2" t="str">
        <f>Table2[[#This Row],[DICE]] &amp; " " &amp; CHAR(43) &amp; " " &amp; SUM(H5:J5)</f>
        <v>1d10 + 0</v>
      </c>
    </row>
    <row r="6" spans="1:25" x14ac:dyDescent="0.25">
      <c r="A6" s="1" t="s">
        <v>3</v>
      </c>
      <c r="B6" s="2" t="s">
        <v>38</v>
      </c>
      <c r="C6" s="2" t="s">
        <v>29</v>
      </c>
      <c r="D6" s="2" t="s">
        <v>29</v>
      </c>
      <c r="E6" s="2" t="s">
        <v>29</v>
      </c>
      <c r="F6" s="2" t="s">
        <v>29</v>
      </c>
      <c r="G6" s="4" t="str">
        <f t="shared" si="0"/>
        <v>1d10</v>
      </c>
      <c r="H6" s="2">
        <f>IF(Table2[[#This Row],[Skilled]] = "YES",VLOOKUP(Table2[[#This Row],[Statistic]],Table1[[Code]:[STAT]],13,FALSE), 0)</f>
        <v>0</v>
      </c>
      <c r="I6" s="2">
        <f>IF(Table2[[#This Row],[Professional]]="Yes",LVL,0)</f>
        <v>0</v>
      </c>
      <c r="J6" s="2">
        <v>0</v>
      </c>
      <c r="K6" s="2" t="str">
        <f>Table2[[#This Row],[DICE]] &amp; " " &amp; CHAR(43) &amp; " " &amp; SUM(H6:J6)</f>
        <v>1d10 + 0</v>
      </c>
    </row>
    <row r="7" spans="1:25" x14ac:dyDescent="0.25">
      <c r="A7" s="1" t="s">
        <v>57</v>
      </c>
      <c r="B7" s="2" t="s">
        <v>37</v>
      </c>
      <c r="C7" s="2" t="s">
        <v>29</v>
      </c>
      <c r="D7" s="2" t="s">
        <v>29</v>
      </c>
      <c r="E7" s="2" t="s">
        <v>29</v>
      </c>
      <c r="F7" s="2" t="s">
        <v>29</v>
      </c>
      <c r="G7" s="4" t="str">
        <f>IF(C7="Yes","1d20","1d10")</f>
        <v>1d10</v>
      </c>
      <c r="H7" s="2">
        <f>IF(Table2[[#This Row],[Skilled]] = "YES",VLOOKUP(Table2[[#This Row],[Statistic]],Table1[[Code]:[STAT]],13,FALSE), 0)</f>
        <v>0</v>
      </c>
      <c r="I7" s="2">
        <f>IF(Table2[[#This Row],[Professional]]="Yes",LVL,0)</f>
        <v>0</v>
      </c>
      <c r="J7" s="2">
        <v>0</v>
      </c>
      <c r="K7" s="2" t="str">
        <f>Table2[[#This Row],[DICE]] &amp; " " &amp; CHAR(43) &amp; " " &amp; SUM(H7:J7)</f>
        <v>1d10 + 0</v>
      </c>
    </row>
    <row r="8" spans="1:25" x14ac:dyDescent="0.25">
      <c r="A8" s="1" t="s">
        <v>4</v>
      </c>
      <c r="B8" s="2" t="s">
        <v>38</v>
      </c>
      <c r="C8" s="2" t="s">
        <v>29</v>
      </c>
      <c r="D8" s="2" t="s">
        <v>29</v>
      </c>
      <c r="E8" s="2" t="s">
        <v>29</v>
      </c>
      <c r="F8" s="2" t="s">
        <v>29</v>
      </c>
      <c r="G8" s="4" t="str">
        <f t="shared" si="0"/>
        <v>1d10</v>
      </c>
      <c r="H8" s="2">
        <f>IF(Table2[[#This Row],[Skilled]] = "YES",VLOOKUP(Table2[[#This Row],[Statistic]],Table1[[Code]:[STAT]],13,FALSE), 0)</f>
        <v>0</v>
      </c>
      <c r="I8" s="2">
        <f>IF(Table2[[#This Row],[Professional]]="Yes",LVL,0)</f>
        <v>0</v>
      </c>
      <c r="J8" s="2">
        <v>0</v>
      </c>
      <c r="K8" s="2" t="str">
        <f>Table2[[#This Row],[DICE]] &amp; " " &amp; CHAR(43) &amp; " " &amp; SUM(H8:J8)</f>
        <v>1d10 + 0</v>
      </c>
      <c r="M8" s="50"/>
      <c r="N8" s="50"/>
      <c r="O8" s="50"/>
      <c r="P8" s="50"/>
      <c r="Q8" s="50"/>
      <c r="R8" s="50"/>
      <c r="S8" s="50"/>
      <c r="T8" s="50"/>
      <c r="U8" s="50"/>
      <c r="V8" s="50"/>
      <c r="W8" s="50"/>
      <c r="X8" s="50"/>
      <c r="Y8" s="50"/>
    </row>
    <row r="9" spans="1:25" x14ac:dyDescent="0.25">
      <c r="A9" s="1" t="s">
        <v>17</v>
      </c>
      <c r="B9" s="2" t="s">
        <v>38</v>
      </c>
      <c r="C9" s="2" t="s">
        <v>29</v>
      </c>
      <c r="D9" s="2" t="s">
        <v>29</v>
      </c>
      <c r="E9" s="2" t="s">
        <v>29</v>
      </c>
      <c r="F9" s="2" t="s">
        <v>29</v>
      </c>
      <c r="G9" s="4" t="str">
        <f t="shared" si="0"/>
        <v>1d10</v>
      </c>
      <c r="H9" s="2">
        <f>IF(Table2[[#This Row],[Skilled]] = "YES",VLOOKUP(Table2[[#This Row],[Statistic]],Table1[[Code]:[STAT]],13,FALSE), 0)</f>
        <v>0</v>
      </c>
      <c r="I9" s="2">
        <f>IF(Table2[[#This Row],[Professional]]="Yes",LVL,0)</f>
        <v>0</v>
      </c>
      <c r="J9" s="2">
        <v>0</v>
      </c>
      <c r="K9" s="2" t="str">
        <f>Table2[[#This Row],[DICE]] &amp; " " &amp; CHAR(43) &amp; " " &amp; SUM(H9:J9)</f>
        <v>1d10 + 0</v>
      </c>
      <c r="M9" s="50"/>
      <c r="N9" s="50"/>
      <c r="O9" s="50"/>
      <c r="P9" s="50"/>
      <c r="Q9" s="50"/>
      <c r="R9" s="50"/>
      <c r="S9" s="50"/>
      <c r="T9" s="50"/>
      <c r="U9" s="50"/>
      <c r="V9" s="50"/>
      <c r="W9" s="50"/>
      <c r="X9" s="50"/>
      <c r="Y9" s="50"/>
    </row>
    <row r="10" spans="1:25" x14ac:dyDescent="0.25">
      <c r="A10" s="1" t="s">
        <v>68</v>
      </c>
      <c r="B10" s="2" t="s">
        <v>38</v>
      </c>
      <c r="C10" s="2" t="s">
        <v>29</v>
      </c>
      <c r="D10" s="2" t="s">
        <v>29</v>
      </c>
      <c r="E10" s="2" t="s">
        <v>29</v>
      </c>
      <c r="F10" s="2" t="s">
        <v>29</v>
      </c>
      <c r="G10" s="4" t="str">
        <f>IF(C10="Yes","1d20","1d10")</f>
        <v>1d10</v>
      </c>
      <c r="H10" s="2">
        <f>IF(Table2[[#This Row],[Skilled]] = "YES",VLOOKUP(Table2[[#This Row],[Statistic]],Table1[[Code]:[STAT]],13,FALSE), 0)</f>
        <v>0</v>
      </c>
      <c r="I10" s="2">
        <f>IF(Table2[[#This Row],[Professional]]="Yes",LVL,0)</f>
        <v>0</v>
      </c>
      <c r="J10" s="2">
        <v>0</v>
      </c>
      <c r="K10" s="2" t="str">
        <f>Table2[[#This Row],[DICE]] &amp; " " &amp; CHAR(43) &amp; " " &amp; SUM(H10:J10)</f>
        <v>1d10 + 0</v>
      </c>
      <c r="M10" s="50"/>
      <c r="O10" s="2"/>
      <c r="P10" s="51"/>
      <c r="Q10" s="51"/>
      <c r="R10" s="51"/>
      <c r="S10" s="51"/>
      <c r="T10" s="51"/>
      <c r="U10" s="51"/>
      <c r="V10" s="51"/>
      <c r="W10" s="51"/>
      <c r="X10" s="51"/>
      <c r="Y10" s="50"/>
    </row>
    <row r="11" spans="1:25" x14ac:dyDescent="0.25">
      <c r="A11" s="1" t="s">
        <v>67</v>
      </c>
      <c r="B11" s="2" t="s">
        <v>55</v>
      </c>
      <c r="C11" s="2" t="s">
        <v>29</v>
      </c>
      <c r="D11" s="2" t="s">
        <v>29</v>
      </c>
      <c r="E11" s="2" t="s">
        <v>29</v>
      </c>
      <c r="F11" s="2" t="s">
        <v>29</v>
      </c>
      <c r="G11" s="4" t="str">
        <f>IF(C11="Yes","1d20","1d10")</f>
        <v>1d10</v>
      </c>
      <c r="H11" s="2">
        <f>IF(Table2[[#This Row],[Skilled]] = "YES",VLOOKUP(Table2[[#This Row],[Statistic]],Table1[[Code]:[STAT]],13,FALSE), 0)</f>
        <v>0</v>
      </c>
      <c r="I11" s="2">
        <f>IF(Table2[[#This Row],[Professional]]="Yes",LVL,0)</f>
        <v>0</v>
      </c>
      <c r="J11" s="2">
        <v>0</v>
      </c>
      <c r="K11" s="2" t="str">
        <f>Table2[[#This Row],[DICE]] &amp; " " &amp; CHAR(43) &amp; " " &amp; SUM(H11:J11)</f>
        <v>1d10 + 0</v>
      </c>
      <c r="M11" s="50"/>
      <c r="O11" s="2"/>
      <c r="P11" s="51"/>
      <c r="Q11" s="51"/>
      <c r="R11" s="51"/>
      <c r="S11" s="51"/>
      <c r="T11" s="51"/>
      <c r="U11" s="51"/>
      <c r="V11" s="51"/>
      <c r="W11" s="51"/>
      <c r="X11" s="51"/>
      <c r="Y11" s="50"/>
    </row>
    <row r="12" spans="1:25" x14ac:dyDescent="0.25">
      <c r="A12" s="1" t="s">
        <v>5</v>
      </c>
      <c r="B12" s="2" t="s">
        <v>38</v>
      </c>
      <c r="C12" s="2" t="s">
        <v>29</v>
      </c>
      <c r="D12" s="2" t="s">
        <v>29</v>
      </c>
      <c r="E12" s="2" t="s">
        <v>29</v>
      </c>
      <c r="F12" s="2" t="s">
        <v>29</v>
      </c>
      <c r="G12" s="4" t="str">
        <f t="shared" si="0"/>
        <v>1d10</v>
      </c>
      <c r="H12" s="2">
        <f>IF(Table2[[#This Row],[Skilled]] = "YES",VLOOKUP(Table2[[#This Row],[Statistic]],Table1[[Code]:[STAT]],13,FALSE), 0)</f>
        <v>0</v>
      </c>
      <c r="I12" s="2">
        <f>IF(Table2[[#This Row],[Professional]]="Yes",LVL,0)</f>
        <v>0</v>
      </c>
      <c r="J12" s="2">
        <v>0</v>
      </c>
      <c r="K12" s="2" t="str">
        <f>Table2[[#This Row],[DICE]] &amp; " " &amp; CHAR(43) &amp; " " &amp; SUM(H12:J12)</f>
        <v>1d10 + 0</v>
      </c>
      <c r="M12" s="50"/>
      <c r="O12" s="2"/>
      <c r="P12" s="51"/>
      <c r="Q12" s="51"/>
      <c r="R12" s="51"/>
      <c r="S12" s="51"/>
      <c r="T12" s="51"/>
      <c r="U12" s="51"/>
      <c r="V12" s="51"/>
      <c r="W12" s="51"/>
      <c r="X12" s="51"/>
      <c r="Y12" s="50"/>
    </row>
    <row r="13" spans="1:25" x14ac:dyDescent="0.25">
      <c r="A13" s="1" t="s">
        <v>6</v>
      </c>
      <c r="B13" s="2" t="s">
        <v>55</v>
      </c>
      <c r="C13" s="2" t="s">
        <v>29</v>
      </c>
      <c r="D13" s="2" t="s">
        <v>29</v>
      </c>
      <c r="E13" s="2" t="s">
        <v>29</v>
      </c>
      <c r="F13" s="2" t="s">
        <v>29</v>
      </c>
      <c r="G13" s="4" t="str">
        <f t="shared" si="0"/>
        <v>1d10</v>
      </c>
      <c r="H13" s="2">
        <f>IF(Table2[[#This Row],[Skilled]] = "YES",VLOOKUP(Table2[[#This Row],[Statistic]],Table1[[Code]:[STAT]],13,FALSE), 0)</f>
        <v>0</v>
      </c>
      <c r="I13" s="2">
        <f>IF(Table2[[#This Row],[Professional]]="Yes",LVL,0)</f>
        <v>0</v>
      </c>
      <c r="J13" s="2">
        <v>0</v>
      </c>
      <c r="K13" s="2" t="str">
        <f>Table2[[#This Row],[DICE]] &amp; " " &amp; CHAR(43) &amp; " " &amp; SUM(H13:J13)</f>
        <v>1d10 + 0</v>
      </c>
      <c r="M13" s="50"/>
      <c r="O13" s="2"/>
      <c r="P13" s="51"/>
      <c r="Q13" s="51"/>
      <c r="R13" s="51"/>
      <c r="S13" s="51"/>
      <c r="T13" s="51"/>
      <c r="U13" s="51"/>
      <c r="V13" s="51"/>
      <c r="W13" s="51"/>
      <c r="X13" s="51"/>
      <c r="Y13" s="50"/>
    </row>
    <row r="14" spans="1:25" x14ac:dyDescent="0.25">
      <c r="A14" s="1" t="s">
        <v>7</v>
      </c>
      <c r="B14" s="2" t="s">
        <v>39</v>
      </c>
      <c r="C14" s="2" t="s">
        <v>29</v>
      </c>
      <c r="D14" s="2" t="s">
        <v>29</v>
      </c>
      <c r="E14" s="2" t="s">
        <v>29</v>
      </c>
      <c r="F14" s="2" t="s">
        <v>29</v>
      </c>
      <c r="G14" s="4" t="str">
        <f t="shared" si="0"/>
        <v>1d10</v>
      </c>
      <c r="H14" s="2">
        <f>IF(Table2[[#This Row],[Skilled]] = "YES",VLOOKUP(Table2[[#This Row],[Statistic]],Table1[[Code]:[STAT]],13,FALSE), 0)</f>
        <v>0</v>
      </c>
      <c r="I14" s="2">
        <f>IF(Table2[[#This Row],[Professional]]="Yes",LVL,0)</f>
        <v>0</v>
      </c>
      <c r="J14" s="2">
        <v>0</v>
      </c>
      <c r="K14" s="2" t="str">
        <f>Table2[[#This Row],[DICE]] &amp; " " &amp; CHAR(43) &amp; " " &amp; SUM(H14:J14)</f>
        <v>1d10 + 0</v>
      </c>
      <c r="M14" s="50"/>
      <c r="O14" s="2"/>
      <c r="P14" s="51"/>
      <c r="Q14" s="51"/>
      <c r="R14" s="51"/>
      <c r="S14" s="51"/>
      <c r="T14" s="51"/>
      <c r="U14" s="51"/>
      <c r="V14" s="51"/>
      <c r="W14" s="51"/>
      <c r="X14" s="51"/>
      <c r="Y14" s="50"/>
    </row>
    <row r="15" spans="1:25" x14ac:dyDescent="0.25">
      <c r="A15" s="1" t="s">
        <v>8</v>
      </c>
      <c r="B15" s="2" t="s">
        <v>37</v>
      </c>
      <c r="C15" s="2" t="s">
        <v>29</v>
      </c>
      <c r="D15" s="2" t="s">
        <v>29</v>
      </c>
      <c r="E15" s="2" t="s">
        <v>29</v>
      </c>
      <c r="F15" s="2" t="s">
        <v>29</v>
      </c>
      <c r="G15" s="4" t="str">
        <f t="shared" si="0"/>
        <v>1d10</v>
      </c>
      <c r="H15" s="2">
        <f>IF(Table2[[#This Row],[Skilled]] = "YES",VLOOKUP(Table2[[#This Row],[Statistic]],Table1[[Code]:[STAT]],13,FALSE), 0)</f>
        <v>0</v>
      </c>
      <c r="I15" s="2">
        <f>IF(Table2[[#This Row],[Professional]]="Yes",LVL,0)</f>
        <v>0</v>
      </c>
      <c r="J15" s="2">
        <v>0</v>
      </c>
      <c r="K15" s="2" t="str">
        <f>Table2[[#This Row],[DICE]] &amp; " " &amp; CHAR(43) &amp; " " &amp; SUM(H15:J15)</f>
        <v>1d10 + 0</v>
      </c>
      <c r="M15" s="50"/>
      <c r="O15" s="2"/>
      <c r="P15" s="51"/>
      <c r="Q15" s="51"/>
      <c r="R15" s="51"/>
      <c r="S15" s="51"/>
      <c r="T15" s="51"/>
      <c r="U15" s="51"/>
      <c r="V15" s="51"/>
      <c r="W15" s="51"/>
      <c r="X15" s="51"/>
      <c r="Y15" s="50"/>
    </row>
    <row r="16" spans="1:25" x14ac:dyDescent="0.25">
      <c r="A16" s="1" t="s">
        <v>9</v>
      </c>
      <c r="B16" s="2" t="s">
        <v>38</v>
      </c>
      <c r="C16" s="2" t="s">
        <v>29</v>
      </c>
      <c r="D16" s="2" t="s">
        <v>29</v>
      </c>
      <c r="E16" s="2" t="s">
        <v>29</v>
      </c>
      <c r="F16" s="2" t="s">
        <v>29</v>
      </c>
      <c r="G16" s="4" t="str">
        <f t="shared" si="0"/>
        <v>1d10</v>
      </c>
      <c r="H16" s="2">
        <f>IF(Table2[[#This Row],[Skilled]] = "YES",VLOOKUP(Table2[[#This Row],[Statistic]],Table1[[Code]:[STAT]],13,FALSE), 0)</f>
        <v>0</v>
      </c>
      <c r="I16" s="2">
        <f>IF(Table2[[#This Row],[Professional]]="Yes",LVL,0)</f>
        <v>0</v>
      </c>
      <c r="J16" s="2">
        <v>0</v>
      </c>
      <c r="K16" s="2" t="str">
        <f>Table2[[#This Row],[DICE]] &amp; " " &amp; CHAR(43) &amp; " " &amp; SUM(H16:J16)</f>
        <v>1d10 + 0</v>
      </c>
      <c r="M16" s="50"/>
      <c r="O16" s="2"/>
      <c r="P16" s="51"/>
      <c r="Q16" s="51"/>
      <c r="R16" s="51"/>
      <c r="S16" s="51"/>
      <c r="T16" s="51"/>
      <c r="U16" s="51"/>
      <c r="V16" s="51"/>
      <c r="W16" s="51"/>
      <c r="X16" s="51"/>
      <c r="Y16" s="50"/>
    </row>
    <row r="17" spans="1:25" x14ac:dyDescent="0.25">
      <c r="A17" s="1" t="s">
        <v>10</v>
      </c>
      <c r="B17" s="2" t="s">
        <v>55</v>
      </c>
      <c r="C17" s="2" t="s">
        <v>29</v>
      </c>
      <c r="D17" s="2" t="s">
        <v>29</v>
      </c>
      <c r="E17" s="2" t="s">
        <v>29</v>
      </c>
      <c r="F17" s="2" t="s">
        <v>29</v>
      </c>
      <c r="G17" s="4" t="str">
        <f t="shared" si="0"/>
        <v>1d10</v>
      </c>
      <c r="H17" s="2">
        <f>IF(Table2[[#This Row],[Skilled]] = "YES",VLOOKUP(Table2[[#This Row],[Statistic]],Table1[[Code]:[STAT]],13,FALSE), 0)</f>
        <v>0</v>
      </c>
      <c r="I17" s="2">
        <f>IF(Table2[[#This Row],[Professional]]="Yes",LVL,0)</f>
        <v>0</v>
      </c>
      <c r="J17" s="2">
        <v>0</v>
      </c>
      <c r="K17" s="2" t="str">
        <f>Table2[[#This Row],[DICE]] &amp; " " &amp; CHAR(43) &amp; " " &amp; SUM(H17:J17)</f>
        <v>1d10 + 0</v>
      </c>
      <c r="M17" s="50"/>
      <c r="O17" s="2"/>
      <c r="P17" s="51"/>
      <c r="Q17" s="51"/>
      <c r="R17" s="51"/>
      <c r="S17" s="51"/>
      <c r="T17" s="51"/>
      <c r="U17" s="51"/>
      <c r="V17" s="51"/>
      <c r="W17" s="51"/>
      <c r="X17" s="51"/>
      <c r="Y17" s="50"/>
    </row>
    <row r="18" spans="1:25" x14ac:dyDescent="0.25">
      <c r="A18" s="1" t="s">
        <v>20</v>
      </c>
      <c r="B18" s="2" t="s">
        <v>55</v>
      </c>
      <c r="C18" s="2" t="s">
        <v>29</v>
      </c>
      <c r="D18" s="2" t="s">
        <v>29</v>
      </c>
      <c r="E18" s="2" t="s">
        <v>29</v>
      </c>
      <c r="F18" s="2" t="s">
        <v>29</v>
      </c>
      <c r="G18" s="4" t="str">
        <f t="shared" si="0"/>
        <v>1d10</v>
      </c>
      <c r="H18" s="2">
        <f>IF(Table2[[#This Row],[Skilled]] = "YES",VLOOKUP(Table2[[#This Row],[Statistic]],Table1[[Code]:[STAT]],13,FALSE), 0)</f>
        <v>0</v>
      </c>
      <c r="I18" s="2">
        <f>IF(Table2[[#This Row],[Professional]]="Yes",LVL,0)</f>
        <v>0</v>
      </c>
      <c r="J18" s="2">
        <v>0</v>
      </c>
      <c r="K18" s="2" t="str">
        <f>Table2[[#This Row],[DICE]] &amp; " " &amp; CHAR(43) &amp; " " &amp; SUM(H18:J18)</f>
        <v>1d10 + 0</v>
      </c>
      <c r="M18" s="50"/>
      <c r="O18" s="2"/>
      <c r="P18" s="51"/>
      <c r="Q18" s="51"/>
      <c r="R18" s="51"/>
      <c r="S18" s="51"/>
      <c r="T18" s="51"/>
      <c r="U18" s="51"/>
      <c r="V18" s="51"/>
      <c r="W18" s="51"/>
      <c r="X18" s="51"/>
      <c r="Y18" s="50"/>
    </row>
    <row r="19" spans="1:25" x14ac:dyDescent="0.25">
      <c r="A19" s="1" t="s">
        <v>11</v>
      </c>
      <c r="B19" s="2" t="s">
        <v>39</v>
      </c>
      <c r="C19" s="2" t="s">
        <v>29</v>
      </c>
      <c r="D19" s="2" t="s">
        <v>29</v>
      </c>
      <c r="E19" s="2" t="s">
        <v>29</v>
      </c>
      <c r="F19" s="2" t="s">
        <v>29</v>
      </c>
      <c r="G19" s="4" t="str">
        <f t="shared" si="0"/>
        <v>1d10</v>
      </c>
      <c r="H19" s="2">
        <f>IF(Table2[[#This Row],[Skilled]] = "YES",VLOOKUP(Table2[[#This Row],[Statistic]],Table1[[Code]:[STAT]],13,FALSE), 0)</f>
        <v>0</v>
      </c>
      <c r="I19" s="2">
        <f>IF(Table2[[#This Row],[Professional]]="Yes",LVL,0)</f>
        <v>0</v>
      </c>
      <c r="J19" s="2">
        <v>0</v>
      </c>
      <c r="K19" s="2" t="str">
        <f>Table2[[#This Row],[DICE]] &amp; " " &amp; CHAR(43) &amp; " " &amp; SUM(H19:J19)</f>
        <v>1d10 + 0</v>
      </c>
      <c r="M19" s="50"/>
      <c r="O19" s="2"/>
      <c r="P19" s="51"/>
      <c r="Q19" s="51"/>
      <c r="R19" s="51"/>
      <c r="S19" s="51"/>
      <c r="T19" s="51"/>
      <c r="U19" s="51"/>
      <c r="V19" s="51"/>
      <c r="W19" s="51"/>
      <c r="X19" s="51"/>
      <c r="Y19" s="50"/>
    </row>
    <row r="20" spans="1:25" x14ac:dyDescent="0.25">
      <c r="A20" s="1" t="s">
        <v>12</v>
      </c>
      <c r="B20" s="2" t="s">
        <v>55</v>
      </c>
      <c r="C20" s="2" t="s">
        <v>29</v>
      </c>
      <c r="D20" s="2" t="s">
        <v>29</v>
      </c>
      <c r="E20" s="2" t="s">
        <v>29</v>
      </c>
      <c r="F20" s="2" t="s">
        <v>29</v>
      </c>
      <c r="G20" s="4" t="str">
        <f t="shared" si="0"/>
        <v>1d10</v>
      </c>
      <c r="H20" s="2">
        <f>IF(Table2[[#This Row],[Skilled]] = "YES",VLOOKUP(Table2[[#This Row],[Statistic]],Table1[[Code]:[STAT]],13,FALSE), 0)</f>
        <v>0</v>
      </c>
      <c r="I20" s="2">
        <f>IF(Table2[[#This Row],[Professional]]="Yes",LVL,0)</f>
        <v>0</v>
      </c>
      <c r="J20" s="2">
        <v>0</v>
      </c>
      <c r="K20" s="2" t="str">
        <f>Table2[[#This Row],[DICE]] &amp; " " &amp; CHAR(43) &amp; " " &amp; SUM(H20:J20)</f>
        <v>1d10 + 0</v>
      </c>
      <c r="M20" s="50"/>
      <c r="O20" s="2"/>
      <c r="P20" s="51"/>
      <c r="Q20" s="51"/>
      <c r="R20" s="51"/>
      <c r="S20" s="51"/>
      <c r="T20" s="51"/>
      <c r="U20" s="51"/>
      <c r="V20" s="51"/>
      <c r="W20" s="51"/>
      <c r="X20" s="51"/>
      <c r="Y20" s="50"/>
    </row>
    <row r="21" spans="1:25" x14ac:dyDescent="0.25">
      <c r="A21" s="1" t="s">
        <v>13</v>
      </c>
      <c r="B21" s="2" t="s">
        <v>37</v>
      </c>
      <c r="C21" s="2" t="s">
        <v>29</v>
      </c>
      <c r="D21" s="2" t="s">
        <v>29</v>
      </c>
      <c r="E21" s="2" t="s">
        <v>29</v>
      </c>
      <c r="F21" s="2" t="s">
        <v>29</v>
      </c>
      <c r="G21" s="4" t="str">
        <f t="shared" si="0"/>
        <v>1d10</v>
      </c>
      <c r="H21" s="2">
        <f>IF(Table2[[#This Row],[Skilled]] = "YES",VLOOKUP(Table2[[#This Row],[Statistic]],Table1[[Code]:[STAT]],13,FALSE), 0)</f>
        <v>0</v>
      </c>
      <c r="I21" s="2">
        <f>IF(Table2[[#This Row],[Professional]]="Yes",LVL,0)</f>
        <v>0</v>
      </c>
      <c r="J21" s="2">
        <v>0</v>
      </c>
      <c r="K21" s="2" t="str">
        <f>Table2[[#This Row],[DICE]] &amp; " " &amp; CHAR(43) &amp; " " &amp; SUM(H21:J21)</f>
        <v>1d10 + 0</v>
      </c>
      <c r="M21" s="50"/>
      <c r="O21" s="2"/>
      <c r="P21" s="51"/>
      <c r="Q21" s="51"/>
      <c r="R21" s="51"/>
      <c r="S21" s="51"/>
      <c r="T21" s="51"/>
      <c r="U21" s="51"/>
      <c r="V21" s="51"/>
      <c r="W21" s="51"/>
      <c r="X21" s="51"/>
      <c r="Y21" s="50"/>
    </row>
    <row r="22" spans="1:25" x14ac:dyDescent="0.25">
      <c r="A22" s="1" t="s">
        <v>14</v>
      </c>
      <c r="B22" s="2" t="s">
        <v>38</v>
      </c>
      <c r="C22" s="2" t="s">
        <v>29</v>
      </c>
      <c r="D22" s="2" t="s">
        <v>29</v>
      </c>
      <c r="E22" s="2" t="s">
        <v>29</v>
      </c>
      <c r="F22" s="2" t="s">
        <v>29</v>
      </c>
      <c r="G22" s="4" t="str">
        <f t="shared" si="0"/>
        <v>1d10</v>
      </c>
      <c r="H22" s="2">
        <f>IF(Table2[[#This Row],[Skilled]] = "YES",VLOOKUP(Table2[[#This Row],[Statistic]],Table1[[Code]:[STAT]],13,FALSE), 0)</f>
        <v>0</v>
      </c>
      <c r="I22" s="2">
        <f>IF(Table2[[#This Row],[Professional]]="Yes",LVL,0)</f>
        <v>0</v>
      </c>
      <c r="J22" s="2">
        <v>0</v>
      </c>
      <c r="K22" s="2" t="str">
        <f>Table2[[#This Row],[DICE]] &amp; " " &amp; CHAR(43) &amp; " " &amp; SUM(H22:J22)</f>
        <v>1d10 + 0</v>
      </c>
      <c r="M22" s="50"/>
      <c r="O22" s="2"/>
      <c r="P22" s="51"/>
      <c r="Q22" s="51"/>
      <c r="R22" s="51"/>
      <c r="S22" s="51"/>
      <c r="T22" s="51"/>
      <c r="U22" s="51"/>
      <c r="V22" s="51"/>
      <c r="W22" s="51"/>
      <c r="X22" s="51"/>
      <c r="Y22" s="50"/>
    </row>
    <row r="23" spans="1:25" x14ac:dyDescent="0.25">
      <c r="A23" s="1" t="s">
        <v>15</v>
      </c>
      <c r="B23" s="2" t="s">
        <v>38</v>
      </c>
      <c r="C23" s="2" t="s">
        <v>29</v>
      </c>
      <c r="D23" s="2" t="s">
        <v>29</v>
      </c>
      <c r="E23" s="2" t="s">
        <v>29</v>
      </c>
      <c r="F23" s="2" t="s">
        <v>29</v>
      </c>
      <c r="G23" s="4" t="str">
        <f t="shared" si="0"/>
        <v>1d10</v>
      </c>
      <c r="H23" s="2">
        <f>IF(Table2[[#This Row],[Skilled]] = "YES",VLOOKUP(Table2[[#This Row],[Statistic]],Table1[[Code]:[STAT]],13,FALSE), 0)</f>
        <v>0</v>
      </c>
      <c r="I23" s="2">
        <f>IF(Table2[[#This Row],[Professional]]="Yes",LVL,0)</f>
        <v>0</v>
      </c>
      <c r="J23" s="2">
        <v>0</v>
      </c>
      <c r="K23" s="2" t="str">
        <f>Table2[[#This Row],[DICE]] &amp; " " &amp; CHAR(43) &amp; " " &amp; SUM(H23:J23)</f>
        <v>1d10 + 0</v>
      </c>
      <c r="M23" s="50"/>
      <c r="O23" s="2"/>
      <c r="P23" s="51"/>
      <c r="Q23" s="51"/>
      <c r="R23" s="51"/>
      <c r="S23" s="51"/>
      <c r="T23" s="51"/>
      <c r="U23" s="51"/>
      <c r="V23" s="51"/>
      <c r="W23" s="51"/>
      <c r="X23" s="51"/>
      <c r="Y23" s="50"/>
    </row>
    <row r="24" spans="1:25" x14ac:dyDescent="0.25">
      <c r="A24" s="1" t="s">
        <v>16</v>
      </c>
      <c r="B24" s="2" t="s">
        <v>38</v>
      </c>
      <c r="C24" s="2" t="s">
        <v>29</v>
      </c>
      <c r="D24" s="2" t="s">
        <v>29</v>
      </c>
      <c r="E24" s="2" t="s">
        <v>29</v>
      </c>
      <c r="F24" s="2" t="s">
        <v>29</v>
      </c>
      <c r="G24" s="4" t="str">
        <f t="shared" si="0"/>
        <v>1d10</v>
      </c>
      <c r="H24" s="2">
        <f>IF(Table2[[#This Row],[Skilled]] = "YES",VLOOKUP(Table2[[#This Row],[Statistic]],Table1[[Code]:[STAT]],13,FALSE), 0)</f>
        <v>0</v>
      </c>
      <c r="I24" s="2">
        <f>IF(Table2[[#This Row],[Professional]]="Yes",LVL,0)</f>
        <v>0</v>
      </c>
      <c r="J24" s="2">
        <v>0</v>
      </c>
      <c r="K24" s="2" t="str">
        <f>Table2[[#This Row],[DICE]] &amp; " " &amp; CHAR(43) &amp; " " &amp; SUM(H24:J24)</f>
        <v>1d10 + 0</v>
      </c>
      <c r="M24" s="50"/>
      <c r="O24" s="2"/>
      <c r="P24" s="51"/>
      <c r="Q24" s="51"/>
      <c r="R24" s="51"/>
      <c r="S24" s="51"/>
      <c r="T24" s="51"/>
      <c r="U24" s="51"/>
      <c r="V24" s="51"/>
      <c r="W24" s="51"/>
      <c r="X24" s="51"/>
      <c r="Y24" s="50"/>
    </row>
    <row r="25" spans="1:25" x14ac:dyDescent="0.25">
      <c r="A25" s="1" t="s">
        <v>18</v>
      </c>
      <c r="B25" s="2" t="s">
        <v>37</v>
      </c>
      <c r="C25" s="2" t="s">
        <v>29</v>
      </c>
      <c r="D25" s="2" t="s">
        <v>29</v>
      </c>
      <c r="E25" s="2" t="s">
        <v>29</v>
      </c>
      <c r="F25" s="2" t="s">
        <v>29</v>
      </c>
      <c r="G25" s="4" t="str">
        <f t="shared" si="0"/>
        <v>1d10</v>
      </c>
      <c r="H25" s="2">
        <f>IF(Table2[[#This Row],[Skilled]] = "YES",VLOOKUP(Table2[[#This Row],[Statistic]],Table1[[Code]:[STAT]],13,FALSE), 0)</f>
        <v>0</v>
      </c>
      <c r="I25" s="2">
        <f>IF(Table2[[#This Row],[Professional]]="Yes",LVL,0)</f>
        <v>0</v>
      </c>
      <c r="J25" s="2">
        <v>0</v>
      </c>
      <c r="K25" s="2" t="str">
        <f>Table2[[#This Row],[DICE]] &amp; " " &amp; CHAR(43) &amp; " " &amp; SUM(H25:J25)</f>
        <v>1d10 + 0</v>
      </c>
      <c r="M25" s="50"/>
      <c r="O25" s="2"/>
      <c r="P25" s="51"/>
      <c r="Q25" s="51"/>
      <c r="R25" s="51"/>
      <c r="S25" s="51"/>
      <c r="T25" s="51"/>
      <c r="U25" s="51"/>
      <c r="V25" s="51"/>
      <c r="W25" s="51"/>
      <c r="X25" s="51"/>
      <c r="Y25" s="50"/>
    </row>
    <row r="26" spans="1:25" x14ac:dyDescent="0.25">
      <c r="A26" s="1" t="s">
        <v>19</v>
      </c>
      <c r="B26" s="2" t="s">
        <v>38</v>
      </c>
      <c r="C26" s="2" t="s">
        <v>29</v>
      </c>
      <c r="D26" s="2" t="s">
        <v>29</v>
      </c>
      <c r="E26" s="2" t="s">
        <v>29</v>
      </c>
      <c r="F26" s="2" t="s">
        <v>29</v>
      </c>
      <c r="G26" s="4" t="str">
        <f t="shared" ref="G26" si="1">IF(C26="Yes","1d20","1d10")</f>
        <v>1d10</v>
      </c>
      <c r="H26" s="2">
        <f>IF(Table2[[#This Row],[Skilled]] = "YES",VLOOKUP(Table2[[#This Row],[Statistic]],Table1[[Code]:[STAT]],13,FALSE), 0)</f>
        <v>0</v>
      </c>
      <c r="I26" s="2">
        <f>IF(Table2[[#This Row],[Professional]]="Yes",LVL,0)</f>
        <v>0</v>
      </c>
      <c r="J26" s="2">
        <v>0</v>
      </c>
      <c r="K26" s="2" t="str">
        <f>Table2[[#This Row],[DICE]] &amp; " " &amp; CHAR(43) &amp; " " &amp; SUM(H26:J26)</f>
        <v>1d10 + 0</v>
      </c>
      <c r="M26" s="50"/>
      <c r="O26" s="2"/>
      <c r="P26" s="51"/>
      <c r="Q26" s="51"/>
      <c r="R26" s="51"/>
      <c r="S26" s="51"/>
      <c r="T26" s="51"/>
      <c r="U26" s="51"/>
      <c r="V26" s="51"/>
      <c r="W26" s="51"/>
      <c r="X26" s="51"/>
      <c r="Y26" s="50"/>
    </row>
    <row r="27" spans="1:25" x14ac:dyDescent="0.25">
      <c r="A27" s="1" t="s">
        <v>170</v>
      </c>
      <c r="B27" s="2" t="s">
        <v>38</v>
      </c>
      <c r="C27" s="2" t="s">
        <v>29</v>
      </c>
      <c r="D27" s="2" t="s">
        <v>29</v>
      </c>
      <c r="E27" s="2" t="s">
        <v>29</v>
      </c>
      <c r="F27" s="2" t="s">
        <v>29</v>
      </c>
      <c r="G27" s="4" t="str">
        <f t="shared" ref="G27:G34" si="2">IF(C27="Yes","1d20","1d10")</f>
        <v>1d10</v>
      </c>
      <c r="H27" s="7">
        <f>IF(Table2[[#This Row],[Skilled]] = "YES",VLOOKUP(Table2[[#This Row],[Statistic]],Table1[[Code]:[STAT]],13,FALSE), 0)</f>
        <v>0</v>
      </c>
      <c r="I27" s="7">
        <f>IF(Table2[[#This Row],[Professional]]="Yes",LVL,0)</f>
        <v>0</v>
      </c>
      <c r="J27" s="2">
        <v>0</v>
      </c>
      <c r="K27" s="2" t="str">
        <f>Table2[[#This Row],[DICE]] &amp; " " &amp; CHAR(43) &amp; " " &amp; SUM(H27:J27)</f>
        <v>1d10 + 0</v>
      </c>
      <c r="M27" s="50"/>
      <c r="O27" s="2"/>
      <c r="P27" s="51"/>
      <c r="Q27" s="51"/>
      <c r="R27" s="51"/>
      <c r="S27" s="51"/>
      <c r="T27" s="51"/>
      <c r="U27" s="51"/>
      <c r="V27" s="51"/>
      <c r="W27" s="51"/>
      <c r="X27" s="51"/>
      <c r="Y27" s="50"/>
    </row>
    <row r="28" spans="1:25" x14ac:dyDescent="0.25">
      <c r="A28" s="1" t="s">
        <v>16</v>
      </c>
      <c r="B28" s="2" t="s">
        <v>38</v>
      </c>
      <c r="C28" s="2" t="s">
        <v>29</v>
      </c>
      <c r="D28" s="2" t="s">
        <v>29</v>
      </c>
      <c r="E28" s="2" t="s">
        <v>29</v>
      </c>
      <c r="F28" s="2" t="s">
        <v>29</v>
      </c>
      <c r="G28" s="4" t="str">
        <f t="shared" si="2"/>
        <v>1d10</v>
      </c>
      <c r="H28" s="7">
        <f>IF(Table2[[#This Row],[Skilled]] = "YES",VLOOKUP(Table2[[#This Row],[Statistic]],Table1[[Code]:[STAT]],13,FALSE), 0)</f>
        <v>0</v>
      </c>
      <c r="I28" s="7">
        <f>IF(Table2[[#This Row],[Professional]]="Yes",LVL,0)</f>
        <v>0</v>
      </c>
      <c r="J28" s="2">
        <v>0</v>
      </c>
      <c r="K28" s="2" t="str">
        <f>Table2[[#This Row],[DICE]] &amp; " " &amp; CHAR(43) &amp; " " &amp; SUM(H28:J28)</f>
        <v>1d10 + 0</v>
      </c>
      <c r="M28" s="50"/>
      <c r="O28" s="2"/>
      <c r="P28" s="51"/>
      <c r="Q28" s="51"/>
      <c r="R28" s="51"/>
      <c r="S28" s="51"/>
      <c r="T28" s="51"/>
      <c r="U28" s="51"/>
      <c r="V28" s="51"/>
      <c r="W28" s="51"/>
      <c r="X28" s="51"/>
      <c r="Y28" s="50"/>
    </row>
    <row r="29" spans="1:25" x14ac:dyDescent="0.25">
      <c r="G29" s="4" t="str">
        <f t="shared" si="2"/>
        <v>1d10</v>
      </c>
      <c r="H29" s="7">
        <f>IF(Table2[[#This Row],[Skilled]] = "YES",VLOOKUP(Table2[[#This Row],[Statistic]],Table1[[Code]:[STAT]],13,FALSE), 0)</f>
        <v>0</v>
      </c>
      <c r="I29" s="7">
        <f>IF(Table2[[#This Row],[Professional]]="Yes",LVL,0)</f>
        <v>0</v>
      </c>
      <c r="J29" s="2">
        <v>0</v>
      </c>
      <c r="K29" s="2" t="str">
        <f>Table2[[#This Row],[DICE]] &amp; " " &amp; CHAR(43) &amp; " " &amp; SUM(H29:J29)</f>
        <v>1d10 + 0</v>
      </c>
      <c r="M29" s="50"/>
      <c r="O29" s="2"/>
      <c r="P29" s="51"/>
      <c r="Q29" s="51"/>
      <c r="R29" s="51"/>
      <c r="S29" s="51"/>
      <c r="T29" s="51"/>
      <c r="U29" s="51"/>
      <c r="V29" s="51"/>
      <c r="W29" s="51"/>
      <c r="X29" s="51"/>
      <c r="Y29" s="50"/>
    </row>
    <row r="30" spans="1:25" x14ac:dyDescent="0.25">
      <c r="G30" s="4" t="str">
        <f t="shared" si="2"/>
        <v>1d10</v>
      </c>
      <c r="H30" s="7">
        <f>IF(Table2[[#This Row],[Skilled]] = "YES",VLOOKUP(Table2[[#This Row],[Statistic]],Table1[[Code]:[STAT]],13,FALSE), 0)</f>
        <v>0</v>
      </c>
      <c r="I30" s="7">
        <f>IF(Table2[[#This Row],[Professional]]="Yes",LVL,0)</f>
        <v>0</v>
      </c>
      <c r="J30" s="2">
        <v>0</v>
      </c>
      <c r="K30" s="2" t="str">
        <f>Table2[[#This Row],[DICE]] &amp; " " &amp; CHAR(43) &amp; " " &amp; SUM(H30:J30)</f>
        <v>1d10 + 0</v>
      </c>
      <c r="M30" s="50"/>
      <c r="O30" s="2"/>
      <c r="P30" s="51"/>
      <c r="Q30" s="51"/>
      <c r="R30" s="51"/>
      <c r="S30" s="51"/>
      <c r="T30" s="51"/>
      <c r="U30" s="51"/>
      <c r="V30" s="51"/>
      <c r="W30" s="51"/>
      <c r="X30" s="51"/>
      <c r="Y30" s="50"/>
    </row>
    <row r="31" spans="1:25" x14ac:dyDescent="0.25">
      <c r="G31" s="4" t="str">
        <f t="shared" si="2"/>
        <v>1d10</v>
      </c>
      <c r="H31" s="7">
        <f>IF(Table2[[#This Row],[Skilled]] = "YES",VLOOKUP(Table2[[#This Row],[Statistic]],Table1[[Code]:[STAT]],13,FALSE), 0)</f>
        <v>0</v>
      </c>
      <c r="I31" s="7">
        <f>IF(Table2[[#This Row],[Professional]]="Yes",LVL,0)</f>
        <v>0</v>
      </c>
      <c r="J31" s="2">
        <v>0</v>
      </c>
      <c r="K31" s="2" t="str">
        <f>Table2[[#This Row],[DICE]] &amp; " " &amp; CHAR(43) &amp; " " &amp; SUM(H31:J31)</f>
        <v>1d10 + 0</v>
      </c>
      <c r="M31" s="50"/>
      <c r="O31" s="2"/>
      <c r="P31" s="51"/>
      <c r="Q31" s="51"/>
      <c r="R31" s="51"/>
      <c r="S31" s="51"/>
      <c r="T31" s="51"/>
      <c r="U31" s="51"/>
      <c r="V31" s="51"/>
      <c r="W31" s="51"/>
      <c r="X31" s="51"/>
      <c r="Y31" s="50"/>
    </row>
    <row r="32" spans="1:25" x14ac:dyDescent="0.25">
      <c r="G32" s="4" t="str">
        <f t="shared" si="2"/>
        <v>1d10</v>
      </c>
      <c r="H32" s="7">
        <f>IF(Table2[[#This Row],[Skilled]] = "YES",VLOOKUP(Table2[[#This Row],[Statistic]],Table1[[Code]:[STAT]],13,FALSE), 0)</f>
        <v>0</v>
      </c>
      <c r="I32" s="7">
        <f>IF(Table2[[#This Row],[Professional]]="Yes",LVL,0)</f>
        <v>0</v>
      </c>
      <c r="J32" s="2">
        <v>0</v>
      </c>
      <c r="K32" s="2" t="str">
        <f>Table2[[#This Row],[DICE]] &amp; " " &amp; CHAR(43) &amp; " " &amp; SUM(H32:J32)</f>
        <v>1d10 + 0</v>
      </c>
      <c r="M32" s="50"/>
      <c r="O32" s="2"/>
      <c r="P32" s="51"/>
      <c r="Q32" s="51"/>
      <c r="R32" s="51"/>
      <c r="S32" s="51"/>
      <c r="T32" s="51"/>
      <c r="U32" s="51"/>
      <c r="V32" s="51"/>
      <c r="W32" s="51"/>
      <c r="X32" s="51"/>
      <c r="Y32" s="50"/>
    </row>
    <row r="33" spans="1:25" x14ac:dyDescent="0.25">
      <c r="G33" s="4" t="str">
        <f t="shared" si="2"/>
        <v>1d10</v>
      </c>
      <c r="H33" s="7">
        <f>IF(Table2[[#This Row],[Skilled]] = "YES",VLOOKUP(Table2[[#This Row],[Statistic]],Table1[[Code]:[STAT]],13,FALSE), 0)</f>
        <v>0</v>
      </c>
      <c r="I33" s="7">
        <f>IF(Table2[[#This Row],[Professional]]="Yes",LVL,0)</f>
        <v>0</v>
      </c>
      <c r="J33" s="2">
        <v>0</v>
      </c>
      <c r="K33" s="2" t="str">
        <f>Table2[[#This Row],[DICE]] &amp; " " &amp; CHAR(43) &amp; " " &amp; SUM(H33:J33)</f>
        <v>1d10 + 0</v>
      </c>
      <c r="M33" s="50"/>
      <c r="O33" s="2"/>
      <c r="P33" s="51"/>
      <c r="Q33" s="51"/>
      <c r="R33" s="51"/>
      <c r="S33" s="51"/>
      <c r="T33" s="51"/>
      <c r="U33" s="51"/>
      <c r="V33" s="51"/>
      <c r="W33" s="51"/>
      <c r="X33" s="51"/>
      <c r="Y33" s="50"/>
    </row>
    <row r="34" spans="1:25" x14ac:dyDescent="0.25">
      <c r="G34" s="4" t="str">
        <f t="shared" si="2"/>
        <v>1d10</v>
      </c>
      <c r="H34" s="7">
        <f>IF(Table2[[#This Row],[Skilled]] = "YES",VLOOKUP(Table2[[#This Row],[Statistic]],Table1[[Code]:[STAT]],13,FALSE), 0)</f>
        <v>0</v>
      </c>
      <c r="I34" s="7">
        <f>IF(Table2[[#This Row],[Professional]]="Yes",LVL,0)</f>
        <v>0</v>
      </c>
      <c r="J34" s="2">
        <v>0</v>
      </c>
      <c r="K34" s="2" t="str">
        <f>Table2[[#This Row],[DICE]] &amp; " " &amp; CHAR(43) &amp; " " &amp; SUM(H34:J34)</f>
        <v>1d10 + 0</v>
      </c>
      <c r="M34" s="50"/>
      <c r="O34" s="2"/>
      <c r="P34" s="51"/>
      <c r="Q34" s="51"/>
      <c r="R34" s="51"/>
      <c r="S34" s="51"/>
      <c r="T34" s="51"/>
      <c r="U34" s="51"/>
      <c r="V34" s="51"/>
      <c r="W34" s="51"/>
      <c r="X34" s="51"/>
      <c r="Y34" s="50"/>
    </row>
    <row r="35" spans="1:25" x14ac:dyDescent="0.25">
      <c r="A35" s="1" t="s">
        <v>49</v>
      </c>
      <c r="B35" s="2">
        <f>SUM(Table2[[#Totals],[Bought]:[Expert]])</f>
        <v>0</v>
      </c>
      <c r="C35" s="2">
        <f>COUNTIF(Table2[Bought],"Yes") * 2</f>
        <v>0</v>
      </c>
      <c r="D35" s="2">
        <f>COUNTIF(Table2[Skilled],"Yes") * 3</f>
        <v>0</v>
      </c>
      <c r="E35" s="2">
        <f>COUNTIF(Table2[Professional],"Yes") * 4</f>
        <v>0</v>
      </c>
      <c r="F35" s="2">
        <f>COUNTIF(Table2[Skilled],"Yes") * 5</f>
        <v>0</v>
      </c>
      <c r="G35" s="4"/>
      <c r="M35" s="50"/>
      <c r="O35" s="2"/>
      <c r="P35" s="51"/>
      <c r="Q35" s="51"/>
      <c r="R35" s="51"/>
      <c r="S35" s="51"/>
      <c r="T35" s="51"/>
      <c r="U35" s="51"/>
      <c r="V35" s="51"/>
      <c r="W35" s="51"/>
      <c r="X35" s="51"/>
      <c r="Y35" s="50"/>
    </row>
    <row r="36" spans="1:25" x14ac:dyDescent="0.25">
      <c r="M36" s="50"/>
      <c r="O36" s="2"/>
      <c r="P36" s="51"/>
      <c r="Q36" s="51"/>
      <c r="R36" s="51"/>
      <c r="S36" s="51"/>
      <c r="T36" s="51"/>
      <c r="U36" s="52"/>
      <c r="V36" s="52"/>
      <c r="W36" s="51"/>
      <c r="X36" s="51"/>
      <c r="Y36" s="50"/>
    </row>
    <row r="37" spans="1:25" x14ac:dyDescent="0.25">
      <c r="M37" s="50"/>
      <c r="O37" s="2"/>
      <c r="P37" s="51"/>
      <c r="Q37" s="51"/>
      <c r="R37" s="51"/>
      <c r="S37" s="51"/>
      <c r="T37" s="51"/>
      <c r="U37" s="52"/>
      <c r="V37" s="52"/>
      <c r="W37" s="51"/>
      <c r="X37" s="51"/>
      <c r="Y37" s="50"/>
    </row>
    <row r="38" spans="1:25" x14ac:dyDescent="0.25">
      <c r="M38" s="50"/>
      <c r="O38" s="2"/>
      <c r="P38" s="51"/>
      <c r="Q38" s="51"/>
      <c r="R38" s="51"/>
      <c r="S38" s="51"/>
      <c r="T38" s="51"/>
      <c r="U38" s="52"/>
      <c r="V38" s="52"/>
      <c r="W38" s="51"/>
      <c r="X38" s="51"/>
      <c r="Y38" s="50"/>
    </row>
    <row r="39" spans="1:25" x14ac:dyDescent="0.25">
      <c r="M39" s="50"/>
      <c r="O39" s="2"/>
      <c r="P39" s="51"/>
      <c r="Q39" s="51"/>
      <c r="R39" s="51"/>
      <c r="S39" s="51"/>
      <c r="T39" s="51"/>
      <c r="U39" s="52"/>
      <c r="V39" s="52"/>
      <c r="W39" s="51"/>
      <c r="X39" s="51"/>
      <c r="Y39" s="50"/>
    </row>
    <row r="40" spans="1:25" x14ac:dyDescent="0.25">
      <c r="M40" s="50"/>
      <c r="O40" s="2"/>
      <c r="P40" s="51"/>
      <c r="Q40" s="51"/>
      <c r="R40" s="51"/>
      <c r="S40" s="51"/>
      <c r="T40" s="51"/>
      <c r="U40" s="52"/>
      <c r="V40" s="52"/>
      <c r="W40" s="51"/>
      <c r="X40" s="51"/>
      <c r="Y40" s="50"/>
    </row>
    <row r="41" spans="1:25" x14ac:dyDescent="0.25">
      <c r="M41" s="50"/>
      <c r="O41" s="2"/>
      <c r="P41" s="51"/>
      <c r="Q41" s="51"/>
      <c r="R41" s="51"/>
      <c r="S41" s="51"/>
      <c r="T41" s="51"/>
      <c r="U41" s="52"/>
      <c r="V41" s="52"/>
      <c r="W41" s="51"/>
      <c r="X41" s="51"/>
      <c r="Y41" s="50"/>
    </row>
    <row r="42" spans="1:25" x14ac:dyDescent="0.25">
      <c r="M42" s="50"/>
      <c r="O42" s="2"/>
      <c r="P42" s="51"/>
      <c r="Q42" s="51"/>
      <c r="R42" s="51"/>
      <c r="S42" s="51"/>
      <c r="T42" s="51"/>
      <c r="U42" s="52"/>
      <c r="V42" s="52"/>
      <c r="W42" s="51"/>
      <c r="X42" s="51"/>
      <c r="Y42" s="50"/>
    </row>
    <row r="43" spans="1:25" x14ac:dyDescent="0.25">
      <c r="M43" s="50"/>
      <c r="N43" s="50"/>
      <c r="O43" s="51"/>
      <c r="P43" s="51"/>
      <c r="Q43" s="51"/>
      <c r="R43" s="51"/>
      <c r="S43" s="51"/>
      <c r="T43" s="51"/>
      <c r="U43" s="52"/>
      <c r="V43" s="52"/>
      <c r="W43" s="51"/>
      <c r="X43" s="51"/>
      <c r="Y43" s="50"/>
    </row>
    <row r="44" spans="1:25" x14ac:dyDescent="0.25">
      <c r="M44" s="50"/>
      <c r="N44" s="50"/>
      <c r="O44" s="50"/>
      <c r="P44" s="50"/>
      <c r="Q44" s="50"/>
      <c r="R44" s="50"/>
      <c r="S44" s="50"/>
      <c r="T44" s="50"/>
      <c r="U44" s="50"/>
      <c r="V44" s="50"/>
      <c r="W44" s="50"/>
      <c r="X44" s="50"/>
      <c r="Y44" s="50"/>
    </row>
  </sheetData>
  <conditionalFormatting sqref="C2:F25 C31:F34">
    <cfRule type="containsText" dxfId="6" priority="5" operator="containsText" text="No">
      <formula>NOT(ISERROR(SEARCH("No",C2)))</formula>
    </cfRule>
  </conditionalFormatting>
  <conditionalFormatting sqref="H2:K25 H31:K34">
    <cfRule type="cellIs" dxfId="5" priority="3" operator="equal">
      <formula>0</formula>
    </cfRule>
  </conditionalFormatting>
  <conditionalFormatting sqref="C26:F30">
    <cfRule type="containsText" dxfId="4" priority="2" operator="containsText" text="No">
      <formula>NOT(ISERROR(SEARCH("No",C26)))</formula>
    </cfRule>
  </conditionalFormatting>
  <conditionalFormatting sqref="H26:K30">
    <cfRule type="cellIs" dxfId="3" priority="1" operator="equal">
      <formula>0</formula>
    </cfRule>
  </conditionalFormatting>
  <dataValidations count="2">
    <dataValidation type="list" allowBlank="1" showInputMessage="1" showErrorMessage="1" sqref="C2:F34" xr:uid="{8BF4E15E-597E-5246-AE5A-ECBEA373D8AA}">
      <formula1>Yes_No</formula1>
    </dataValidation>
    <dataValidation type="list" allowBlank="1" showInputMessage="1" showErrorMessage="1" sqref="B2:B34" xr:uid="{291788F6-9C9D-B547-B5DB-6B3C5699AC73}">
      <formula1>StatisticCodes</formula1>
    </dataValidation>
  </dataValidations>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47CD4F-A7E4-6841-ABCD-A939FFEF8EAA}">
  <dimension ref="A1:Q17"/>
  <sheetViews>
    <sheetView workbookViewId="0">
      <selection activeCell="E28" sqref="E28"/>
    </sheetView>
  </sheetViews>
  <sheetFormatPr baseColWidth="10" defaultRowHeight="21" x14ac:dyDescent="0.25"/>
  <cols>
    <col min="1" max="1" width="20.1640625" style="1" customWidth="1"/>
    <col min="2" max="2" width="20.1640625" style="2" customWidth="1"/>
    <col min="3" max="6" width="18" style="2" customWidth="1"/>
    <col min="7" max="10" width="12.1640625" style="2" customWidth="1"/>
    <col min="11" max="11" width="23" style="2" customWidth="1"/>
    <col min="12" max="16384" width="10.83203125" style="1"/>
  </cols>
  <sheetData>
    <row r="1" spans="1:17" x14ac:dyDescent="0.25">
      <c r="A1" s="1" t="s">
        <v>22</v>
      </c>
      <c r="B1" s="2" t="s">
        <v>34</v>
      </c>
      <c r="C1" s="2" t="s">
        <v>23</v>
      </c>
      <c r="D1" s="2" t="s">
        <v>24</v>
      </c>
      <c r="E1" s="2" t="s">
        <v>26</v>
      </c>
      <c r="F1" s="2" t="s">
        <v>25</v>
      </c>
      <c r="G1" s="4" t="s">
        <v>42</v>
      </c>
      <c r="H1" s="2" t="s">
        <v>40</v>
      </c>
      <c r="I1" s="2" t="s">
        <v>41</v>
      </c>
      <c r="J1" s="2" t="s">
        <v>43</v>
      </c>
      <c r="K1" s="2" t="s">
        <v>44</v>
      </c>
    </row>
    <row r="2" spans="1:17" x14ac:dyDescent="0.25">
      <c r="A2" s="1" t="s">
        <v>176</v>
      </c>
      <c r="B2" s="2" t="s">
        <v>37</v>
      </c>
      <c r="C2" s="2" t="s">
        <v>29</v>
      </c>
      <c r="D2" s="2" t="s">
        <v>29</v>
      </c>
      <c r="E2" s="2" t="s">
        <v>29</v>
      </c>
      <c r="F2" s="2" t="s">
        <v>29</v>
      </c>
      <c r="G2" s="4" t="str">
        <f t="shared" ref="G2:G9" si="0">IF(C2="Yes","1d20","1d10")</f>
        <v>1d10</v>
      </c>
      <c r="H2" s="2">
        <f>IF(Table217[[#This Row],[Skilled]] = "YES",VLOOKUP(Table217[[#This Row],[Statistic]],Table1[[Code]:[STAT]],13,FALSE), 0)</f>
        <v>0</v>
      </c>
      <c r="I2" s="2">
        <f>IF(Table217[[#This Row],[Professional]]="Yes",LVL,0)</f>
        <v>0</v>
      </c>
      <c r="J2" s="2">
        <f>IF(Table217[[#This Row],[Expert]]="Yes", EXPERTISE, 0)</f>
        <v>0</v>
      </c>
      <c r="K2" s="74" t="str">
        <f>Table217[[#This Row],[DICE]] &amp; " " &amp; CHAR(43) &amp; " " &amp; SUM(H2:J2)</f>
        <v>1d10 + 0</v>
      </c>
    </row>
    <row r="3" spans="1:17" x14ac:dyDescent="0.25">
      <c r="A3" s="1" t="s">
        <v>177</v>
      </c>
      <c r="B3" s="2" t="s">
        <v>36</v>
      </c>
      <c r="C3" s="2" t="s">
        <v>29</v>
      </c>
      <c r="D3" s="2" t="s">
        <v>29</v>
      </c>
      <c r="E3" s="2" t="s">
        <v>29</v>
      </c>
      <c r="F3" s="2" t="s">
        <v>29</v>
      </c>
      <c r="G3" s="4" t="str">
        <f t="shared" si="0"/>
        <v>1d10</v>
      </c>
      <c r="H3" s="2">
        <f>IF(Table217[[#This Row],[Skilled]] = "YES",VLOOKUP(Table217[[#This Row],[Statistic]],Table1[[Code]:[STAT]],13,FALSE), 0)</f>
        <v>0</v>
      </c>
      <c r="I3" s="2">
        <f>IF(Table217[[#This Row],[Professional]]="Yes",LVL,0)</f>
        <v>0</v>
      </c>
      <c r="J3" s="2">
        <v>0</v>
      </c>
      <c r="K3" s="2" t="str">
        <f>Table217[[#This Row],[DICE]] &amp; " " &amp; CHAR(43) &amp; " " &amp; SUM(H3:J3)</f>
        <v>1d10 + 0</v>
      </c>
    </row>
    <row r="4" spans="1:17" x14ac:dyDescent="0.25">
      <c r="A4" s="1" t="s">
        <v>172</v>
      </c>
      <c r="B4" s="2" t="s">
        <v>55</v>
      </c>
      <c r="C4" s="2" t="s">
        <v>29</v>
      </c>
      <c r="D4" s="2" t="s">
        <v>29</v>
      </c>
      <c r="E4" s="2" t="s">
        <v>29</v>
      </c>
      <c r="F4" s="2" t="s">
        <v>29</v>
      </c>
      <c r="G4" s="4" t="str">
        <f t="shared" si="0"/>
        <v>1d10</v>
      </c>
      <c r="H4" s="2">
        <f>IF(Table217[[#This Row],[Skilled]] = "YES",VLOOKUP(Table217[[#This Row],[Statistic]],Table1[[Code]:[STAT]],13,FALSE), 0)</f>
        <v>0</v>
      </c>
      <c r="I4" s="2">
        <f>IF(Table217[[#This Row],[Professional]]="Yes",LVL,0)</f>
        <v>0</v>
      </c>
      <c r="J4" s="2">
        <v>0</v>
      </c>
      <c r="K4" s="2" t="str">
        <f>Table217[[#This Row],[DICE]] &amp; " " &amp; CHAR(43) &amp; " " &amp; SUM(H4:J4)</f>
        <v>1d10 + 0</v>
      </c>
    </row>
    <row r="5" spans="1:17" x14ac:dyDescent="0.25">
      <c r="A5" s="1" t="s">
        <v>171</v>
      </c>
      <c r="B5" s="2" t="s">
        <v>36</v>
      </c>
      <c r="C5" s="2" t="s">
        <v>29</v>
      </c>
      <c r="D5" s="2" t="s">
        <v>29</v>
      </c>
      <c r="E5" s="2" t="s">
        <v>29</v>
      </c>
      <c r="F5" s="2" t="s">
        <v>29</v>
      </c>
      <c r="G5" s="4" t="str">
        <f t="shared" si="0"/>
        <v>1d10</v>
      </c>
      <c r="H5" s="2">
        <f>IF(Table217[[#This Row],[Skilled]] = "YES",VLOOKUP(Table217[[#This Row],[Statistic]],Table1[[Code]:[STAT]],13,FALSE), 0)</f>
        <v>0</v>
      </c>
      <c r="I5" s="2">
        <f>IF(Table217[[#This Row],[Professional]]="Yes",LVL,0)</f>
        <v>0</v>
      </c>
      <c r="J5" s="2">
        <v>0</v>
      </c>
      <c r="K5" s="2" t="str">
        <f>Table217[[#This Row],[DICE]] &amp; " " &amp; CHAR(43) &amp; " " &amp; SUM(H5:J5)</f>
        <v>1d10 + 0</v>
      </c>
    </row>
    <row r="6" spans="1:17" x14ac:dyDescent="0.25">
      <c r="A6" s="1" t="s">
        <v>173</v>
      </c>
      <c r="B6" s="2" t="s">
        <v>39</v>
      </c>
      <c r="C6" s="2" t="s">
        <v>29</v>
      </c>
      <c r="D6" s="2" t="s">
        <v>29</v>
      </c>
      <c r="E6" s="2" t="s">
        <v>29</v>
      </c>
      <c r="F6" s="2" t="s">
        <v>29</v>
      </c>
      <c r="G6" s="4" t="str">
        <f t="shared" si="0"/>
        <v>1d10</v>
      </c>
      <c r="H6" s="2">
        <f>IF(Table217[[#This Row],[Skilled]] = "YES",VLOOKUP(Table217[[#This Row],[Statistic]],Table1[[Code]:[STAT]],13,FALSE), 0)</f>
        <v>0</v>
      </c>
      <c r="I6" s="2">
        <f>IF(Table217[[#This Row],[Professional]]="Yes",LVL,0)</f>
        <v>0</v>
      </c>
      <c r="J6" s="2">
        <v>0</v>
      </c>
      <c r="K6" s="2" t="str">
        <f>Table217[[#This Row],[DICE]] &amp; " " &amp; CHAR(43) &amp; " " &amp; SUM(H6:J6)</f>
        <v>1d10 + 0</v>
      </c>
    </row>
    <row r="7" spans="1:17" x14ac:dyDescent="0.25">
      <c r="A7" s="1" t="s">
        <v>174</v>
      </c>
      <c r="B7" s="2" t="s">
        <v>36</v>
      </c>
      <c r="C7" s="2" t="s">
        <v>29</v>
      </c>
      <c r="D7" s="2" t="s">
        <v>29</v>
      </c>
      <c r="E7" s="2" t="s">
        <v>29</v>
      </c>
      <c r="F7" s="2" t="s">
        <v>29</v>
      </c>
      <c r="G7" s="4" t="str">
        <f>IF(C7="Yes","1d20","1d10")</f>
        <v>1d10</v>
      </c>
      <c r="H7" s="2">
        <f>IF(Table217[[#This Row],[Skilled]] = "YES",VLOOKUP(Table217[[#This Row],[Statistic]],Table1[[Code]:[STAT]],13,FALSE), 0)</f>
        <v>0</v>
      </c>
      <c r="I7" s="2">
        <f>IF(Table217[[#This Row],[Professional]]="Yes",LVL,0)</f>
        <v>0</v>
      </c>
      <c r="J7" s="2">
        <v>0</v>
      </c>
      <c r="K7" s="2" t="str">
        <f>Table217[[#This Row],[DICE]] &amp; " " &amp; CHAR(43) &amp; " " &amp; SUM(H7:J7)</f>
        <v>1d10 + 0</v>
      </c>
    </row>
    <row r="8" spans="1:17" x14ac:dyDescent="0.25">
      <c r="A8" s="1" t="s">
        <v>175</v>
      </c>
      <c r="B8" s="2" t="s">
        <v>36</v>
      </c>
      <c r="C8" s="2" t="s">
        <v>29</v>
      </c>
      <c r="D8" s="2" t="s">
        <v>29</v>
      </c>
      <c r="E8" s="2" t="s">
        <v>29</v>
      </c>
      <c r="F8" s="2" t="s">
        <v>29</v>
      </c>
      <c r="G8" s="4" t="str">
        <f t="shared" si="0"/>
        <v>1d10</v>
      </c>
      <c r="H8" s="2">
        <f>IF(Table217[[#This Row],[Skilled]] = "YES",VLOOKUP(Table217[[#This Row],[Statistic]],Table1[[Code]:[STAT]],13,FALSE), 0)</f>
        <v>0</v>
      </c>
      <c r="I8" s="2">
        <f>IF(Table217[[#This Row],[Professional]]="Yes",LVL,0)</f>
        <v>0</v>
      </c>
      <c r="J8" s="2">
        <v>0</v>
      </c>
      <c r="K8" s="2" t="str">
        <f>Table217[[#This Row],[DICE]] &amp; " " &amp; CHAR(43) &amp; " " &amp; SUM(H8:J8)</f>
        <v>1d10 + 0</v>
      </c>
      <c r="P8" s="2"/>
      <c r="Q8" s="2"/>
    </row>
    <row r="9" spans="1:17" x14ac:dyDescent="0.25">
      <c r="A9" s="1" t="s">
        <v>178</v>
      </c>
      <c r="B9" s="2" t="s">
        <v>39</v>
      </c>
      <c r="C9" s="2" t="s">
        <v>29</v>
      </c>
      <c r="D9" s="2" t="s">
        <v>29</v>
      </c>
      <c r="E9" s="2" t="s">
        <v>29</v>
      </c>
      <c r="F9" s="2" t="s">
        <v>29</v>
      </c>
      <c r="G9" s="4" t="str">
        <f t="shared" si="0"/>
        <v>1d10</v>
      </c>
      <c r="H9" s="2">
        <f>IF(Table217[[#This Row],[Skilled]] = "YES",VLOOKUP(Table217[[#This Row],[Statistic]],Table1[[Code]:[STAT]],13,FALSE), 0)</f>
        <v>0</v>
      </c>
      <c r="I9" s="2">
        <f>IF(Table217[[#This Row],[Professional]]="Yes",LVL,0)</f>
        <v>0</v>
      </c>
      <c r="J9" s="2">
        <v>0</v>
      </c>
      <c r="K9" s="2" t="str">
        <f>Table217[[#This Row],[DICE]] &amp; " " &amp; CHAR(43) &amp; " " &amp; SUM(H9:J9)</f>
        <v>1d10 + 0</v>
      </c>
      <c r="P9" s="2"/>
      <c r="Q9" s="2"/>
    </row>
    <row r="10" spans="1:17" x14ac:dyDescent="0.25">
      <c r="A10" s="1" t="s">
        <v>179</v>
      </c>
      <c r="B10" s="2" t="s">
        <v>38</v>
      </c>
      <c r="C10" s="2" t="s">
        <v>29</v>
      </c>
      <c r="D10" s="2" t="s">
        <v>29</v>
      </c>
      <c r="E10" s="2" t="s">
        <v>29</v>
      </c>
      <c r="F10" s="2" t="s">
        <v>29</v>
      </c>
      <c r="G10" s="4" t="str">
        <f t="shared" ref="G10:G16" si="1">IF(C10="Yes","1d20","1d10")</f>
        <v>1d10</v>
      </c>
      <c r="H10" s="2">
        <f>IF(Table217[[#This Row],[Skilled]] = "YES",VLOOKUP(Table217[[#This Row],[Statistic]],Table1[[Code]:[STAT]],13,FALSE), 0)</f>
        <v>0</v>
      </c>
      <c r="I10" s="2">
        <f>IF(Table217[[#This Row],[Professional]]="Yes",LVL,0)</f>
        <v>0</v>
      </c>
      <c r="J10" s="2">
        <v>0</v>
      </c>
      <c r="K10" s="2" t="str">
        <f>Table217[[#This Row],[DICE]] &amp; " " &amp; CHAR(43) &amp; " " &amp; SUM(H10:J10)</f>
        <v>1d10 + 0</v>
      </c>
      <c r="P10" s="2"/>
      <c r="Q10" s="2"/>
    </row>
    <row r="11" spans="1:17" x14ac:dyDescent="0.25">
      <c r="G11" s="4" t="str">
        <f t="shared" si="1"/>
        <v>1d10</v>
      </c>
      <c r="H11" s="7">
        <f>IF(Table217[[#This Row],[Skilled]] = "YES",VLOOKUP(Table217[[#This Row],[Statistic]],Table1[[Code]:[STAT]],13,FALSE), 0)</f>
        <v>0</v>
      </c>
      <c r="I11" s="7">
        <f>IF(Table217[[#This Row],[Professional]]="Yes",LVL,0)</f>
        <v>0</v>
      </c>
      <c r="J11" s="2">
        <v>0</v>
      </c>
      <c r="K11" s="2" t="str">
        <f>Table217[[#This Row],[DICE]] &amp; " " &amp; CHAR(43) &amp; " " &amp; SUM(H11:J11)</f>
        <v>1d10 + 0</v>
      </c>
      <c r="P11" s="2"/>
      <c r="Q11" s="2"/>
    </row>
    <row r="12" spans="1:17" x14ac:dyDescent="0.25">
      <c r="G12" s="4" t="str">
        <f t="shared" si="1"/>
        <v>1d10</v>
      </c>
      <c r="H12" s="7">
        <f>IF(Table217[[#This Row],[Skilled]] = "YES",VLOOKUP(Table217[[#This Row],[Statistic]],Table1[[Code]:[STAT]],13,FALSE), 0)</f>
        <v>0</v>
      </c>
      <c r="I12" s="7">
        <f>IF(Table217[[#This Row],[Professional]]="Yes",LVL,0)</f>
        <v>0</v>
      </c>
      <c r="J12" s="2">
        <v>0</v>
      </c>
      <c r="K12" s="2" t="str">
        <f>Table217[[#This Row],[DICE]] &amp; " " &amp; CHAR(43) &amp; " " &amp; SUM(H12:J12)</f>
        <v>1d10 + 0</v>
      </c>
      <c r="P12" s="2"/>
      <c r="Q12" s="2"/>
    </row>
    <row r="13" spans="1:17" x14ac:dyDescent="0.25">
      <c r="G13" s="4" t="str">
        <f t="shared" si="1"/>
        <v>1d10</v>
      </c>
      <c r="H13" s="7">
        <f>IF(Table217[[#This Row],[Skilled]] = "YES",VLOOKUP(Table217[[#This Row],[Statistic]],Table1[[Code]:[STAT]],13,FALSE), 0)</f>
        <v>0</v>
      </c>
      <c r="I13" s="7">
        <f>IF(Table217[[#This Row],[Professional]]="Yes",LVL,0)</f>
        <v>0</v>
      </c>
      <c r="J13" s="2">
        <v>0</v>
      </c>
      <c r="K13" s="2" t="str">
        <f>Table217[[#This Row],[DICE]] &amp; " " &amp; CHAR(43) &amp; " " &amp; SUM(H13:J13)</f>
        <v>1d10 + 0</v>
      </c>
      <c r="P13" s="2"/>
      <c r="Q13" s="2"/>
    </row>
    <row r="14" spans="1:17" x14ac:dyDescent="0.25">
      <c r="G14" s="4" t="str">
        <f t="shared" si="1"/>
        <v>1d10</v>
      </c>
      <c r="H14" s="7">
        <f>IF(Table217[[#This Row],[Skilled]] = "YES",VLOOKUP(Table217[[#This Row],[Statistic]],Table1[[Code]:[STAT]],13,FALSE), 0)</f>
        <v>0</v>
      </c>
      <c r="I14" s="7">
        <f>IF(Table217[[#This Row],[Professional]]="Yes",LVL,0)</f>
        <v>0</v>
      </c>
      <c r="J14" s="2">
        <v>0</v>
      </c>
      <c r="K14" s="2" t="str">
        <f>Table217[[#This Row],[DICE]] &amp; " " &amp; CHAR(43) &amp; " " &amp; SUM(H14:J14)</f>
        <v>1d10 + 0</v>
      </c>
      <c r="P14" s="2"/>
      <c r="Q14" s="2"/>
    </row>
    <row r="15" spans="1:17" x14ac:dyDescent="0.25">
      <c r="G15" s="4" t="str">
        <f t="shared" si="1"/>
        <v>1d10</v>
      </c>
      <c r="H15" s="7">
        <f>IF(Table217[[#This Row],[Skilled]] = "YES",VLOOKUP(Table217[[#This Row],[Statistic]],Table1[[Code]:[STAT]],13,FALSE), 0)</f>
        <v>0</v>
      </c>
      <c r="I15" s="7">
        <f>IF(Table217[[#This Row],[Professional]]="Yes",LVL,0)</f>
        <v>0</v>
      </c>
      <c r="J15" s="2">
        <v>0</v>
      </c>
      <c r="K15" s="2" t="str">
        <f>Table217[[#This Row],[DICE]] &amp; " " &amp; CHAR(43) &amp; " " &amp; SUM(H15:J15)</f>
        <v>1d10 + 0</v>
      </c>
      <c r="P15" s="2"/>
      <c r="Q15" s="2"/>
    </row>
    <row r="16" spans="1:17" x14ac:dyDescent="0.25">
      <c r="G16" s="4" t="str">
        <f t="shared" si="1"/>
        <v>1d10</v>
      </c>
      <c r="H16" s="7">
        <f>IF(Table217[[#This Row],[Skilled]] = "YES",VLOOKUP(Table217[[#This Row],[Statistic]],Table1[[Code]:[STAT]],13,FALSE), 0)</f>
        <v>0</v>
      </c>
      <c r="I16" s="7">
        <f>IF(Table217[[#This Row],[Professional]]="Yes",LVL,0)</f>
        <v>0</v>
      </c>
      <c r="J16" s="2">
        <v>0</v>
      </c>
      <c r="K16" s="2" t="str">
        <f>Table217[[#This Row],[DICE]] &amp; " " &amp; CHAR(43) &amp; " " &amp; SUM(H16:J16)</f>
        <v>1d10 + 0</v>
      </c>
      <c r="P16" s="2"/>
      <c r="Q16" s="2"/>
    </row>
    <row r="17" spans="1:7" x14ac:dyDescent="0.25">
      <c r="A17" s="1" t="s">
        <v>49</v>
      </c>
      <c r="B17" s="2">
        <f>SUM(Table217[[#Totals],[Bought]:[Expert]])</f>
        <v>0</v>
      </c>
      <c r="C17" s="2">
        <f>COUNTIF(Table217[Bought],"Yes") * 2</f>
        <v>0</v>
      </c>
      <c r="D17" s="2">
        <f>COUNTIF(Table217[Skilled],"Yes") * 3</f>
        <v>0</v>
      </c>
      <c r="E17" s="2">
        <f>COUNTIF(Table217[Professional],"Yes") * 4</f>
        <v>0</v>
      </c>
      <c r="F17" s="2">
        <f>COUNTIF(Table217[Skilled],"Yes") * 5</f>
        <v>0</v>
      </c>
      <c r="G17" s="4"/>
    </row>
  </sheetData>
  <conditionalFormatting sqref="C2:F16">
    <cfRule type="containsText" dxfId="2" priority="4" operator="containsText" text="No">
      <formula>NOT(ISERROR(SEARCH("No",C2)))</formula>
    </cfRule>
  </conditionalFormatting>
  <conditionalFormatting sqref="H2:K16">
    <cfRule type="cellIs" dxfId="1" priority="3" operator="equal">
      <formula>0</formula>
    </cfRule>
  </conditionalFormatting>
  <dataValidations count="2">
    <dataValidation type="list" allowBlank="1" showInputMessage="1" showErrorMessage="1" sqref="B2:B16" xr:uid="{8940018D-8A13-8B47-A53B-1351DF9197A5}">
      <formula1>StatisticCodes</formula1>
    </dataValidation>
    <dataValidation type="list" allowBlank="1" showInputMessage="1" showErrorMessage="1" sqref="C2:F16" xr:uid="{A2F128B1-0AA8-C247-AE8A-4DDF63DA5109}">
      <formula1>Yes_No</formula1>
    </dataValidation>
  </dataValidations>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D8EBD6-9BE4-5C49-B401-A7498992A36D}">
  <dimension ref="A1:X38"/>
  <sheetViews>
    <sheetView workbookViewId="0">
      <selection activeCell="J3" sqref="J3"/>
    </sheetView>
  </sheetViews>
  <sheetFormatPr baseColWidth="10" defaultRowHeight="21" x14ac:dyDescent="0.25"/>
  <cols>
    <col min="1" max="1" width="19.1640625" style="1" customWidth="1"/>
    <col min="2" max="12" width="11.83203125" style="1" customWidth="1"/>
    <col min="13" max="16384" width="10.83203125" style="1"/>
  </cols>
  <sheetData>
    <row r="1" spans="1:24" ht="44" customHeight="1" x14ac:dyDescent="0.25">
      <c r="A1" s="1" t="s">
        <v>22</v>
      </c>
      <c r="B1" s="1" t="s">
        <v>102</v>
      </c>
      <c r="C1" s="1" t="s">
        <v>106</v>
      </c>
      <c r="D1" s="1" t="s">
        <v>107</v>
      </c>
      <c r="E1" s="1" t="s">
        <v>124</v>
      </c>
      <c r="F1" s="19" t="s">
        <v>204</v>
      </c>
      <c r="G1" s="1" t="s">
        <v>103</v>
      </c>
      <c r="H1" s="1" t="s">
        <v>104</v>
      </c>
      <c r="I1" s="1" t="s">
        <v>105</v>
      </c>
      <c r="J1" s="1" t="s">
        <v>117</v>
      </c>
      <c r="K1" s="1" t="s">
        <v>108</v>
      </c>
      <c r="L1" s="2" t="s">
        <v>52</v>
      </c>
      <c r="W1" s="1" t="s">
        <v>22</v>
      </c>
      <c r="X1" s="1" t="s">
        <v>108</v>
      </c>
    </row>
    <row r="2" spans="1:24" x14ac:dyDescent="0.25">
      <c r="A2" s="1" t="s">
        <v>109</v>
      </c>
      <c r="B2" s="2">
        <v>0</v>
      </c>
      <c r="C2" s="2">
        <v>0</v>
      </c>
      <c r="D2" s="2">
        <f>EQ_DMG</f>
        <v>0</v>
      </c>
      <c r="E2" s="2">
        <v>0</v>
      </c>
      <c r="F2" s="2">
        <f>SUM(Table9[[#This Row],[Rank]:[Special]])</f>
        <v>0</v>
      </c>
      <c r="G2" s="2">
        <v>1</v>
      </c>
      <c r="H2" s="2" t="str">
        <f>CHAR(43)</f>
        <v>+</v>
      </c>
      <c r="I2" s="2"/>
      <c r="J2" s="2">
        <f>SUM(Table9[[#This Row],[Rank]:[Special]])*Table9[[#This Row],[Factor]]</f>
        <v>0</v>
      </c>
      <c r="K2" s="2" t="str">
        <f>Table9[[#This Row],[Prefix]] &amp; Table9[[#This Row],[CALC]]&amp; Table9[[#This Row],[Postfix]]</f>
        <v>+0</v>
      </c>
      <c r="L2" s="2">
        <f>IFERROR(VLOOKUP(Table9[[#This Row],[Rank]],RANK_LOOKUP,2,FALSE),0)</f>
        <v>0</v>
      </c>
      <c r="N2" s="1" t="s">
        <v>127</v>
      </c>
    </row>
    <row r="3" spans="1:24" x14ac:dyDescent="0.25">
      <c r="A3" s="1" t="s">
        <v>111</v>
      </c>
      <c r="B3" s="2">
        <v>0</v>
      </c>
      <c r="C3" s="2">
        <v>0</v>
      </c>
      <c r="D3" s="2">
        <f>EQ_STAMINA</f>
        <v>0</v>
      </c>
      <c r="E3" s="2">
        <v>0</v>
      </c>
      <c r="F3" s="2">
        <f>SUM(Table9[[#This Row],[Rank]:[Special]])</f>
        <v>0</v>
      </c>
      <c r="G3" s="2">
        <v>0.1</v>
      </c>
      <c r="H3" s="2" t="str">
        <f>CHAR(43)</f>
        <v>+</v>
      </c>
      <c r="I3" s="2"/>
      <c r="J3" s="2">
        <f>ROUND(SUM(Table9[[#This Row],[Rank]:[Special]]) * 'Character Info'!D7 * Table9[[#This Row],[Factor]],0)</f>
        <v>0</v>
      </c>
      <c r="K3" s="2" t="str">
        <f>Table9[[#This Row],[Prefix]] &amp; Table9[[#This Row],[CALC]]&amp; Table9[[#This Row],[Postfix]]</f>
        <v>+0</v>
      </c>
      <c r="L3" s="2">
        <f>IFERROR(VLOOKUP(Table9[[#This Row],[Rank]],RANK_LOOKUP,2,FALSE),0)</f>
        <v>0</v>
      </c>
      <c r="N3" s="1" t="s">
        <v>126</v>
      </c>
    </row>
    <row r="4" spans="1:24" x14ac:dyDescent="0.25">
      <c r="A4" s="1" t="s">
        <v>112</v>
      </c>
      <c r="B4" s="2">
        <v>0</v>
      </c>
      <c r="C4" s="2">
        <v>0</v>
      </c>
      <c r="D4" s="2">
        <f>EQ_CRIT</f>
        <v>0</v>
      </c>
      <c r="E4" s="2">
        <v>0</v>
      </c>
      <c r="F4" s="2">
        <f>SUM(Table9[[#This Row],[Rank]:[Special]])</f>
        <v>0</v>
      </c>
      <c r="G4" s="10">
        <v>33</v>
      </c>
      <c r="H4" s="2"/>
      <c r="I4" s="2"/>
      <c r="J4" s="2">
        <f>ROUND(Table9[[#This Row],[TotalRank]]*Table9[[#This Row],[Factor]]/100, 0)</f>
        <v>0</v>
      </c>
      <c r="K4" s="2" t="str">
        <f>20 - Table9[[#This Row],[CALC]] &amp; ""</f>
        <v>20</v>
      </c>
      <c r="L4" s="2">
        <f>IFERROR(VLOOKUP(Table9[[#This Row],[Rank]],RANK_LOOKUP,2,FALSE),0)</f>
        <v>0</v>
      </c>
      <c r="N4" s="1" t="s">
        <v>128</v>
      </c>
    </row>
    <row r="5" spans="1:24" x14ac:dyDescent="0.25">
      <c r="A5" s="1" t="s">
        <v>114</v>
      </c>
      <c r="B5" s="2">
        <v>0</v>
      </c>
      <c r="C5" s="2">
        <v>0</v>
      </c>
      <c r="D5" s="2">
        <f>EQ_CRITDMG</f>
        <v>0</v>
      </c>
      <c r="E5" s="2">
        <v>0</v>
      </c>
      <c r="F5" s="2">
        <f>SUM(Table9[[#This Row],[Rank]:[Special]])</f>
        <v>0</v>
      </c>
      <c r="G5" s="2">
        <v>1</v>
      </c>
      <c r="H5" s="2" t="s">
        <v>115</v>
      </c>
      <c r="I5" s="2"/>
      <c r="J5" s="2">
        <f xml:space="preserve"> Table9[[#This Row],[Factor]] * Table9[[#This Row],[TotalRank]]</f>
        <v>0</v>
      </c>
      <c r="K5" s="2" t="str">
        <f>Table9[[#This Row],[Prefix]] &amp;Table9[[#This Row],[CALC]]&amp; "d4"</f>
        <v>+0d4</v>
      </c>
      <c r="L5" s="2">
        <f>IFERROR(VLOOKUP(Table9[[#This Row],[Rank]],RANK_LOOKUP,2,FALSE),0)</f>
        <v>0</v>
      </c>
      <c r="N5" s="1" t="s">
        <v>125</v>
      </c>
    </row>
    <row r="6" spans="1:24" x14ac:dyDescent="0.25">
      <c r="A6" s="1" t="s">
        <v>116</v>
      </c>
      <c r="B6" s="2">
        <v>0</v>
      </c>
      <c r="C6" s="2">
        <v>0</v>
      </c>
      <c r="D6" s="2">
        <f>EQ_SPLASH</f>
        <v>0</v>
      </c>
      <c r="E6" s="2">
        <v>0</v>
      </c>
      <c r="F6" s="2">
        <f>SUM(Table9[[#This Row],[Rank]:[Special]])</f>
        <v>0</v>
      </c>
      <c r="G6" s="2">
        <v>20</v>
      </c>
      <c r="H6" s="2"/>
      <c r="I6" s="2" t="s">
        <v>113</v>
      </c>
      <c r="J6" s="2">
        <f>ROUND(Table9[[#This Row],[TotalRank]] * Table9[[#This Row],[Factor]], 0)</f>
        <v>0</v>
      </c>
      <c r="K6" s="2" t="str">
        <f>Table9[[#This Row],[CALC]]&amp; Table9[[#This Row],[Postfix]]</f>
        <v>0%</v>
      </c>
      <c r="L6" s="2">
        <f>IFERROR(VLOOKUP(Table9[[#This Row],[Rank]],RANK_LOOKUP,2,FALSE),0)</f>
        <v>0</v>
      </c>
      <c r="N6" s="1" t="s">
        <v>129</v>
      </c>
    </row>
    <row r="7" spans="1:24" x14ac:dyDescent="0.25">
      <c r="A7" s="1" t="s">
        <v>123</v>
      </c>
      <c r="B7" s="2">
        <v>0</v>
      </c>
      <c r="C7" s="2">
        <v>0</v>
      </c>
      <c r="D7" s="2">
        <f>EQ_SPLASHDMG</f>
        <v>0</v>
      </c>
      <c r="E7" s="2">
        <v>0</v>
      </c>
      <c r="F7" s="2">
        <f>SUM(Table9[[#This Row],[Rank]:[Special]])</f>
        <v>0</v>
      </c>
      <c r="G7" s="2">
        <v>1</v>
      </c>
      <c r="H7" s="2" t="s">
        <v>115</v>
      </c>
      <c r="I7" s="2"/>
      <c r="J7" s="2">
        <f xml:space="preserve"> Table9[[#This Row],[Factor]] * Table9[[#This Row],[TotalRank]]</f>
        <v>0</v>
      </c>
      <c r="K7" s="2" t="str">
        <f>Table9[[#This Row],[Prefix]] &amp;Table9[[#This Row],[CALC]]&amp; "d4"</f>
        <v>+0d4</v>
      </c>
      <c r="L7" s="2">
        <f>IFERROR(VLOOKUP(Table9[[#This Row],[Rank]],RANK_LOOKUP,2,FALSE),0)</f>
        <v>0</v>
      </c>
      <c r="N7" s="1" t="s">
        <v>130</v>
      </c>
    </row>
    <row r="8" spans="1:24" x14ac:dyDescent="0.25">
      <c r="A8" s="1" t="s">
        <v>69</v>
      </c>
      <c r="B8" s="2">
        <v>0</v>
      </c>
      <c r="C8" s="2">
        <v>0</v>
      </c>
      <c r="D8" s="2">
        <f>EQ_EXPERTISE</f>
        <v>0</v>
      </c>
      <c r="E8" s="2">
        <v>0</v>
      </c>
      <c r="F8" s="2">
        <f>SUM(Table9[[#This Row],[Rank]:[Special]])</f>
        <v>0</v>
      </c>
      <c r="G8" s="2">
        <v>1</v>
      </c>
      <c r="H8" s="2" t="str">
        <f>CHAR(43)</f>
        <v>+</v>
      </c>
      <c r="I8" s="2"/>
      <c r="J8" s="2">
        <f>Table9[[#This Row],[TotalRank]] * Table9[[#This Row],[Factor]]</f>
        <v>0</v>
      </c>
      <c r="K8" s="2" t="str">
        <f>Table9[[#This Row],[Prefix]] &amp; Table9[[#This Row],[CALC]]</f>
        <v>+0</v>
      </c>
      <c r="L8" s="2">
        <f>IFERROR(VLOOKUP(Table9[[#This Row],[Rank]],RANK_LOOKUP,2,FALSE),0)</f>
        <v>0</v>
      </c>
      <c r="N8" s="1" t="s">
        <v>131</v>
      </c>
    </row>
    <row r="9" spans="1:24" x14ac:dyDescent="0.25">
      <c r="A9" s="1" t="s">
        <v>118</v>
      </c>
      <c r="B9" s="2">
        <v>0</v>
      </c>
      <c r="C9" s="2">
        <v>0</v>
      </c>
      <c r="D9" s="2">
        <f>EQ_MOVEMENT + ARMOR_MOVEMENT</f>
        <v>0</v>
      </c>
      <c r="E9" s="2">
        <v>0</v>
      </c>
      <c r="F9" s="2">
        <f>SUM(Table9[[#This Row],[Rank]:[Special]])</f>
        <v>0</v>
      </c>
      <c r="G9" s="2">
        <v>2</v>
      </c>
      <c r="H9" s="2"/>
      <c r="I9" s="2" t="s">
        <v>119</v>
      </c>
      <c r="J9" s="2">
        <f>Table9[[#This Row],[TotalRank]] * Table9[[#This Row],[Factor]]</f>
        <v>0</v>
      </c>
      <c r="K9" s="2" t="str">
        <f>IF(Table9[[#This Row],[CALC]] &gt; 0,"+","") &amp; Table9[[#This Row],[CALC]]&amp; Table9[[#This Row],[Postfix]]</f>
        <v>0ft</v>
      </c>
      <c r="L9" s="2">
        <f>IFERROR(VLOOKUP(Table9[[#This Row],[Rank]],RANK_LOOKUP,2,FALSE),0)</f>
        <v>0</v>
      </c>
      <c r="N9" s="1" t="s">
        <v>213</v>
      </c>
    </row>
    <row r="10" spans="1:24" x14ac:dyDescent="0.25">
      <c r="A10" s="1" t="s">
        <v>120</v>
      </c>
      <c r="B10" s="2">
        <v>0</v>
      </c>
      <c r="C10" s="2">
        <v>0</v>
      </c>
      <c r="D10" s="2">
        <f>EQ_EXTRAATTACK</f>
        <v>0</v>
      </c>
      <c r="E10" s="2">
        <v>0</v>
      </c>
      <c r="F10" s="2">
        <f>SUM(Table9[[#This Row],[Rank]:[Special]])</f>
        <v>0</v>
      </c>
      <c r="G10" s="2">
        <v>20</v>
      </c>
      <c r="H10" s="2"/>
      <c r="I10" s="2" t="s">
        <v>113</v>
      </c>
      <c r="J10" s="2">
        <f>ROUND(Table9[[#This Row],[TotalRank]] * Table9[[#This Row],[Factor]], 0)</f>
        <v>0</v>
      </c>
      <c r="K10" s="2" t="str">
        <f>Table9[[#This Row],[CALC]]&amp; Table9[[#This Row],[Postfix]]</f>
        <v>0%</v>
      </c>
      <c r="L10" s="2">
        <f>IFERROR(VLOOKUP(Table9[[#This Row],[Rank]],RANK_LOOKUP,2,FALSE),0)</f>
        <v>0</v>
      </c>
      <c r="N10" s="1" t="s">
        <v>132</v>
      </c>
    </row>
    <row r="11" spans="1:24" x14ac:dyDescent="0.25">
      <c r="A11" s="1" t="s">
        <v>121</v>
      </c>
      <c r="B11" s="2">
        <v>0</v>
      </c>
      <c r="C11" s="2">
        <v>0</v>
      </c>
      <c r="D11" s="2">
        <f>EQ_ARMOR + ARMOR_ARMOR</f>
        <v>0</v>
      </c>
      <c r="E11" s="2">
        <v>0</v>
      </c>
      <c r="F11" s="2">
        <f>SUM(Table9[[#This Row],[Rank]:[Special]])</f>
        <v>0</v>
      </c>
      <c r="G11" s="2">
        <v>1</v>
      </c>
      <c r="H11" s="2" t="str">
        <f>CHAR(43)</f>
        <v>+</v>
      </c>
      <c r="I11" s="2"/>
      <c r="J11" s="2">
        <f>Table9[[#This Row],[TotalRank]] * Table9[[#This Row],[Factor]]</f>
        <v>0</v>
      </c>
      <c r="K11" s="2" t="str">
        <f>Table9[[#This Row],[Prefix]] &amp; Table9[[#This Row],[CALC]]</f>
        <v>+0</v>
      </c>
      <c r="L11" s="2">
        <f>IFERROR(VLOOKUP(Table9[[#This Row],[Rank]],RANK_LOOKUP,2,FALSE),0)</f>
        <v>0</v>
      </c>
      <c r="N11" s="1" t="s">
        <v>133</v>
      </c>
    </row>
    <row r="12" spans="1:24" x14ac:dyDescent="0.25">
      <c r="A12" s="1" t="s">
        <v>122</v>
      </c>
      <c r="B12" s="2">
        <v>0</v>
      </c>
      <c r="C12" s="2">
        <v>0</v>
      </c>
      <c r="D12" s="2">
        <f>EQ_AURA</f>
        <v>0</v>
      </c>
      <c r="E12" s="2">
        <v>0</v>
      </c>
      <c r="F12" s="2">
        <f>SUM(Table9[[#This Row],[Rank]:[Special]])</f>
        <v>0</v>
      </c>
      <c r="G12" s="2">
        <v>1</v>
      </c>
      <c r="H12" s="2" t="str">
        <f>CHAR(43)</f>
        <v>+</v>
      </c>
      <c r="I12" s="2"/>
      <c r="J12" s="2">
        <f>Table9[[#This Row],[TotalRank]] * Table9[[#This Row],[Factor]]</f>
        <v>0</v>
      </c>
      <c r="K12" s="2" t="str">
        <f>Table9[[#This Row],[Prefix]] &amp; Table9[[#This Row],[CALC]]</f>
        <v>+0</v>
      </c>
      <c r="L12" s="2">
        <f>IFERROR(VLOOKUP(Table9[[#This Row],[Rank]],RANK_LOOKUP,2,FALSE),0)</f>
        <v>0</v>
      </c>
      <c r="N12" s="1" t="s">
        <v>134</v>
      </c>
    </row>
    <row r="13" spans="1:24" x14ac:dyDescent="0.25">
      <c r="A13" s="1" t="s">
        <v>141</v>
      </c>
      <c r="B13" s="2">
        <v>0</v>
      </c>
      <c r="C13" s="2">
        <v>0</v>
      </c>
      <c r="D13" s="2">
        <v>0</v>
      </c>
      <c r="E13" s="2">
        <v>0</v>
      </c>
      <c r="F13" s="2">
        <f>SUM(Table9[[#This Row],[Rank]:[Special]])</f>
        <v>0</v>
      </c>
      <c r="G13" s="2">
        <v>0</v>
      </c>
      <c r="H13" s="2"/>
      <c r="I13" s="2"/>
      <c r="J13" s="2">
        <v>0</v>
      </c>
      <c r="K13" s="2">
        <v>0</v>
      </c>
      <c r="L13" s="2">
        <f>IFERROR(VLOOKUP(Table9[[#This Row],[Rank]],RANK_LOOKUP,2,FALSE),0)</f>
        <v>0</v>
      </c>
      <c r="N13" s="1" t="s">
        <v>158</v>
      </c>
    </row>
    <row r="14" spans="1:24" x14ac:dyDescent="0.25">
      <c r="A14" s="1" t="s">
        <v>159</v>
      </c>
      <c r="B14" s="2">
        <v>0</v>
      </c>
      <c r="C14" s="2">
        <v>0</v>
      </c>
      <c r="D14" s="2">
        <f>ARMOR_INI</f>
        <v>0</v>
      </c>
      <c r="E14" s="2">
        <v>0</v>
      </c>
      <c r="F14" s="2">
        <f>SUM(Table9[[#This Row],[Rank]:[Special]])</f>
        <v>0</v>
      </c>
      <c r="G14" s="2">
        <v>2</v>
      </c>
      <c r="H14" s="2"/>
      <c r="I14" s="2"/>
      <c r="J14" s="2">
        <f>Table9[[#This Row],[TotalRank]] * Table9[[#This Row],[Factor]]</f>
        <v>0</v>
      </c>
      <c r="K14" s="2" t="str">
        <f>Table9[[#This Row],[Prefix]] &amp; SUM(Table9[[#This Row],[Rank]:[Special]])*Table9[[#This Row],[Factor]] &amp; Table9[[#This Row],[Postfix]]</f>
        <v>0</v>
      </c>
      <c r="L14" s="2">
        <f>IFERROR(VLOOKUP(Table9[[#This Row],[Rank]],RANK_LOOKUP,2,FALSE),0)</f>
        <v>0</v>
      </c>
      <c r="N14" s="1" t="s">
        <v>211</v>
      </c>
    </row>
    <row r="15" spans="1:24" x14ac:dyDescent="0.25">
      <c r="A15" s="1" t="s">
        <v>212</v>
      </c>
      <c r="B15" s="2">
        <v>0</v>
      </c>
      <c r="C15" s="2">
        <v>0</v>
      </c>
      <c r="D15" s="2">
        <v>0</v>
      </c>
      <c r="E15" s="2">
        <v>0</v>
      </c>
      <c r="F15" s="2">
        <f>SUM(Table9[[#This Row],[Rank]:[Special]])</f>
        <v>0</v>
      </c>
      <c r="G15" s="2">
        <v>1</v>
      </c>
      <c r="H15" s="2"/>
      <c r="I15" s="2"/>
      <c r="J15" s="2">
        <f>Table9[[#This Row],[Factor]]*Table9[[#This Row],[TotalRank]]</f>
        <v>0</v>
      </c>
      <c r="K15" s="2">
        <f>Table9[[#This Row],[CALC]]</f>
        <v>0</v>
      </c>
      <c r="L15" s="2">
        <f>IFERROR(VLOOKUP(Table9[[#This Row],[Rank]],RANK_LOOKUP,2,FALSE),0)</f>
        <v>0</v>
      </c>
    </row>
    <row r="16" spans="1:24" x14ac:dyDescent="0.25">
      <c r="B16" s="2">
        <v>0</v>
      </c>
      <c r="C16" s="2">
        <v>0</v>
      </c>
      <c r="D16" s="2">
        <v>0</v>
      </c>
      <c r="E16" s="2">
        <v>0</v>
      </c>
      <c r="F16" s="2">
        <f>SUM(Table9[[#This Row],[Rank]:[Special]])</f>
        <v>0</v>
      </c>
      <c r="G16" s="2">
        <v>0</v>
      </c>
      <c r="H16" s="2"/>
      <c r="I16" s="2"/>
      <c r="J16" s="2">
        <v>0</v>
      </c>
      <c r="K16" s="2" t="str">
        <f>Table9[[#This Row],[Prefix]] &amp; SUM(Table9[[#This Row],[Rank]:[Special]])*Table9[[#This Row],[Factor]] &amp; Table9[[#This Row],[Postfix]]</f>
        <v>0</v>
      </c>
      <c r="L16" s="2">
        <f>IFERROR(VLOOKUP(Table9[[#This Row],[Rank]],RANK_LOOKUP,2,FALSE),0)</f>
        <v>0</v>
      </c>
    </row>
    <row r="17" spans="2:15" x14ac:dyDescent="0.25">
      <c r="B17" s="2">
        <v>0</v>
      </c>
      <c r="C17" s="2">
        <v>0</v>
      </c>
      <c r="D17" s="2">
        <v>0</v>
      </c>
      <c r="E17" s="2">
        <v>0</v>
      </c>
      <c r="F17" s="2">
        <f>SUM(Table9[[#This Row],[Rank]:[Special]])</f>
        <v>0</v>
      </c>
      <c r="G17" s="2">
        <v>0</v>
      </c>
      <c r="H17" s="2"/>
      <c r="I17" s="2"/>
      <c r="J17" s="2">
        <v>0</v>
      </c>
      <c r="K17" s="2" t="str">
        <f>Table9[[#This Row],[Prefix]] &amp; SUM(Table9[[#This Row],[Rank]:[Special]])*Table9[[#This Row],[Factor]] &amp; Table9[[#This Row],[Postfix]]</f>
        <v>0</v>
      </c>
      <c r="L17" s="2">
        <f>IFERROR(VLOOKUP(Table9[[#This Row],[Rank]],RANK_LOOKUP,2,FALSE),0)</f>
        <v>0</v>
      </c>
    </row>
    <row r="18" spans="2:15" x14ac:dyDescent="0.25">
      <c r="B18" s="2">
        <v>0</v>
      </c>
      <c r="C18" s="2">
        <v>0</v>
      </c>
      <c r="D18" s="2">
        <v>0</v>
      </c>
      <c r="E18" s="2">
        <v>0</v>
      </c>
      <c r="F18" s="2">
        <f>SUM(Table9[[#This Row],[Rank]:[Special]])</f>
        <v>0</v>
      </c>
      <c r="G18" s="2">
        <v>0</v>
      </c>
      <c r="H18" s="2"/>
      <c r="I18" s="2"/>
      <c r="J18" s="2">
        <v>0</v>
      </c>
      <c r="K18" s="2" t="str">
        <f>Table9[[#This Row],[Prefix]] &amp; SUM(Table9[[#This Row],[Rank]:[Special]])*Table9[[#This Row],[Factor]] &amp; Table9[[#This Row],[Postfix]]</f>
        <v>0</v>
      </c>
      <c r="L18" s="2">
        <f>IFERROR(VLOOKUP(Table9[[#This Row],[Rank]],RANK_LOOKUP,2,FALSE),0)</f>
        <v>0</v>
      </c>
    </row>
    <row r="19" spans="2:15" x14ac:dyDescent="0.25">
      <c r="B19" s="2">
        <v>0</v>
      </c>
      <c r="C19" s="2">
        <v>0</v>
      </c>
      <c r="D19" s="2">
        <v>0</v>
      </c>
      <c r="E19" s="2">
        <v>0</v>
      </c>
      <c r="F19" s="2">
        <f>SUM(Table9[[#This Row],[Rank]:[Special]])</f>
        <v>0</v>
      </c>
      <c r="G19" s="2">
        <v>0</v>
      </c>
      <c r="H19" s="2"/>
      <c r="I19" s="2"/>
      <c r="J19" s="2">
        <v>0</v>
      </c>
      <c r="K19" s="2" t="str">
        <f>Table9[[#This Row],[Prefix]] &amp; SUM(Table9[[#This Row],[Rank]:[Special]])*Table9[[#This Row],[Factor]] &amp; Table9[[#This Row],[Postfix]]</f>
        <v>0</v>
      </c>
      <c r="L19" s="2">
        <f>IFERROR(VLOOKUP(Table9[[#This Row],[Rank]],RANK_LOOKUP,2,FALSE),0)</f>
        <v>0</v>
      </c>
    </row>
    <row r="26" spans="2:15" x14ac:dyDescent="0.25">
      <c r="O26" s="2"/>
    </row>
    <row r="27" spans="2:15" x14ac:dyDescent="0.25">
      <c r="O27" s="2"/>
    </row>
    <row r="28" spans="2:15" x14ac:dyDescent="0.25">
      <c r="O28" s="2"/>
    </row>
    <row r="29" spans="2:15" x14ac:dyDescent="0.25">
      <c r="O29" s="2"/>
    </row>
    <row r="30" spans="2:15" x14ac:dyDescent="0.25">
      <c r="O30" s="2"/>
    </row>
    <row r="31" spans="2:15" x14ac:dyDescent="0.25">
      <c r="O31" s="2"/>
    </row>
    <row r="32" spans="2:15" x14ac:dyDescent="0.25">
      <c r="O32" s="2"/>
    </row>
    <row r="33" spans="15:15" x14ac:dyDescent="0.25">
      <c r="O33" s="2"/>
    </row>
    <row r="34" spans="15:15" x14ac:dyDescent="0.25">
      <c r="O34" s="2"/>
    </row>
    <row r="35" spans="15:15" x14ac:dyDescent="0.25">
      <c r="O35" s="2"/>
    </row>
    <row r="36" spans="15:15" x14ac:dyDescent="0.25">
      <c r="O36" s="2"/>
    </row>
    <row r="37" spans="15:15" x14ac:dyDescent="0.25">
      <c r="O37" s="2"/>
    </row>
    <row r="38" spans="15:15" x14ac:dyDescent="0.25">
      <c r="O38" s="2"/>
    </row>
  </sheetData>
  <pageMargins left="0.7" right="0.7" top="0.75" bottom="0.75" header="0.3" footer="0.3"/>
  <ignoredErrors>
    <ignoredError sqref="J10 J6" formula="1"/>
  </ignoredErrors>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3A9BA2-7C8F-B247-ADDB-A1B3542BA0A5}">
  <dimension ref="A1:W27"/>
  <sheetViews>
    <sheetView workbookViewId="0">
      <selection activeCell="B36" sqref="B36"/>
    </sheetView>
  </sheetViews>
  <sheetFormatPr baseColWidth="10" defaultRowHeight="21" x14ac:dyDescent="0.25"/>
  <cols>
    <col min="1" max="1" width="16.5" style="1" customWidth="1"/>
    <col min="2" max="2" width="32.83203125" style="1" customWidth="1"/>
    <col min="3" max="16" width="12.5" style="1" customWidth="1"/>
    <col min="17" max="21" width="10.83203125" style="1"/>
    <col min="22" max="22" width="67.1640625" style="1" customWidth="1"/>
    <col min="23" max="16384" width="10.83203125" style="1"/>
  </cols>
  <sheetData>
    <row r="1" spans="1:23" x14ac:dyDescent="0.25">
      <c r="C1" s="118" t="s">
        <v>63</v>
      </c>
      <c r="D1" s="118"/>
      <c r="E1" s="118"/>
      <c r="F1" s="118"/>
      <c r="G1" s="118"/>
      <c r="H1" s="118"/>
      <c r="I1" s="118"/>
      <c r="J1" s="118"/>
      <c r="K1" s="118"/>
      <c r="L1" s="118"/>
      <c r="M1" s="118"/>
      <c r="N1" s="118"/>
      <c r="O1" s="118"/>
      <c r="P1" s="118"/>
      <c r="Q1" s="118" t="s">
        <v>187</v>
      </c>
      <c r="R1" s="118"/>
      <c r="S1" s="118"/>
      <c r="T1" s="118"/>
      <c r="U1" s="118"/>
      <c r="V1" s="29"/>
      <c r="W1" s="29"/>
    </row>
    <row r="2" spans="1:23" ht="42" customHeight="1" x14ac:dyDescent="0.25">
      <c r="A2" s="20" t="s">
        <v>139</v>
      </c>
      <c r="B2" s="20" t="s">
        <v>22</v>
      </c>
      <c r="C2" s="20" t="s">
        <v>153</v>
      </c>
      <c r="D2" s="21" t="s">
        <v>109</v>
      </c>
      <c r="E2" s="21" t="s">
        <v>111</v>
      </c>
      <c r="F2" s="21" t="s">
        <v>112</v>
      </c>
      <c r="G2" s="21" t="s">
        <v>114</v>
      </c>
      <c r="H2" s="21" t="s">
        <v>140</v>
      </c>
      <c r="I2" s="21" t="s">
        <v>156</v>
      </c>
      <c r="J2" s="21" t="s">
        <v>154</v>
      </c>
      <c r="K2" s="21" t="s">
        <v>155</v>
      </c>
      <c r="L2" s="21" t="s">
        <v>157</v>
      </c>
      <c r="M2" s="21" t="s">
        <v>121</v>
      </c>
      <c r="N2" s="21" t="s">
        <v>122</v>
      </c>
      <c r="O2" s="21" t="s">
        <v>141</v>
      </c>
      <c r="P2" s="22" t="s">
        <v>160</v>
      </c>
      <c r="Q2" s="25" t="s">
        <v>36</v>
      </c>
      <c r="R2" s="22" t="s">
        <v>37</v>
      </c>
      <c r="S2" s="22" t="s">
        <v>38</v>
      </c>
      <c r="T2" s="22" t="s">
        <v>55</v>
      </c>
      <c r="U2" s="22" t="s">
        <v>39</v>
      </c>
      <c r="V2" s="22" t="s">
        <v>137</v>
      </c>
    </row>
    <row r="3" spans="1:23" x14ac:dyDescent="0.25">
      <c r="A3" s="1" t="s">
        <v>142</v>
      </c>
      <c r="C3" s="2" t="s">
        <v>28</v>
      </c>
      <c r="D3" s="2">
        <v>0</v>
      </c>
      <c r="E3" s="2">
        <v>0</v>
      </c>
      <c r="F3" s="2">
        <v>0</v>
      </c>
      <c r="G3" s="2">
        <v>0</v>
      </c>
      <c r="H3" s="2">
        <v>0</v>
      </c>
      <c r="I3" s="2">
        <v>0</v>
      </c>
      <c r="J3" s="2">
        <v>0</v>
      </c>
      <c r="K3" s="2">
        <v>0</v>
      </c>
      <c r="L3" s="2">
        <v>0</v>
      </c>
      <c r="M3" s="2">
        <v>0</v>
      </c>
      <c r="N3" s="2">
        <v>0</v>
      </c>
      <c r="O3" s="2">
        <v>0</v>
      </c>
      <c r="P3" s="2">
        <v>0</v>
      </c>
      <c r="Q3" s="26">
        <v>0</v>
      </c>
      <c r="R3" s="2">
        <v>0</v>
      </c>
      <c r="S3" s="2">
        <v>0</v>
      </c>
      <c r="T3" s="2">
        <v>0</v>
      </c>
      <c r="U3" s="2">
        <v>0</v>
      </c>
      <c r="V3" s="23"/>
    </row>
    <row r="4" spans="1:23" x14ac:dyDescent="0.25">
      <c r="A4" s="1" t="s">
        <v>143</v>
      </c>
      <c r="B4" s="1" t="s">
        <v>152</v>
      </c>
      <c r="C4" s="2" t="s">
        <v>28</v>
      </c>
      <c r="D4" s="2">
        <v>0</v>
      </c>
      <c r="E4" s="2">
        <v>0</v>
      </c>
      <c r="F4" s="2">
        <v>0</v>
      </c>
      <c r="G4" s="2">
        <v>0</v>
      </c>
      <c r="H4" s="2">
        <v>0</v>
      </c>
      <c r="I4" s="2">
        <v>0</v>
      </c>
      <c r="J4" s="2">
        <v>0</v>
      </c>
      <c r="K4" s="2">
        <v>0</v>
      </c>
      <c r="L4" s="2">
        <v>0</v>
      </c>
      <c r="M4" s="2">
        <v>0</v>
      </c>
      <c r="N4" s="2">
        <v>0</v>
      </c>
      <c r="O4" s="2">
        <v>0</v>
      </c>
      <c r="P4" s="2">
        <v>0</v>
      </c>
      <c r="Q4" s="26">
        <v>0</v>
      </c>
      <c r="R4" s="2">
        <v>0</v>
      </c>
      <c r="S4" s="2">
        <v>0</v>
      </c>
      <c r="T4" s="2">
        <v>0</v>
      </c>
      <c r="U4" s="2">
        <v>0</v>
      </c>
      <c r="V4" s="23" t="s">
        <v>152</v>
      </c>
    </row>
    <row r="5" spans="1:23" x14ac:dyDescent="0.25">
      <c r="A5" s="1" t="s">
        <v>144</v>
      </c>
      <c r="B5" s="1" t="s">
        <v>152</v>
      </c>
      <c r="C5" s="2" t="s">
        <v>28</v>
      </c>
      <c r="D5" s="2">
        <v>0</v>
      </c>
      <c r="E5" s="2">
        <v>0</v>
      </c>
      <c r="F5" s="2">
        <v>0</v>
      </c>
      <c r="G5" s="2">
        <v>0</v>
      </c>
      <c r="H5" s="2">
        <v>0</v>
      </c>
      <c r="I5" s="2">
        <v>0</v>
      </c>
      <c r="J5" s="2">
        <v>0</v>
      </c>
      <c r="K5" s="2">
        <v>0</v>
      </c>
      <c r="L5" s="2">
        <v>0</v>
      </c>
      <c r="M5" s="2">
        <v>0</v>
      </c>
      <c r="N5" s="2">
        <v>0</v>
      </c>
      <c r="O5" s="2">
        <v>0</v>
      </c>
      <c r="P5" s="2">
        <v>0</v>
      </c>
      <c r="Q5" s="26">
        <v>0</v>
      </c>
      <c r="R5" s="2">
        <v>0</v>
      </c>
      <c r="S5" s="2">
        <v>0</v>
      </c>
      <c r="T5" s="2">
        <v>0</v>
      </c>
      <c r="U5" s="2">
        <v>0</v>
      </c>
      <c r="V5" s="23" t="s">
        <v>152</v>
      </c>
    </row>
    <row r="6" spans="1:23" x14ac:dyDescent="0.25">
      <c r="A6" s="1" t="s">
        <v>145</v>
      </c>
      <c r="B6" s="1" t="s">
        <v>152</v>
      </c>
      <c r="C6" s="2" t="s">
        <v>28</v>
      </c>
      <c r="D6" s="2">
        <v>0</v>
      </c>
      <c r="E6" s="2">
        <v>0</v>
      </c>
      <c r="F6" s="2">
        <v>0</v>
      </c>
      <c r="G6" s="2">
        <v>0</v>
      </c>
      <c r="H6" s="2">
        <v>0</v>
      </c>
      <c r="I6" s="2">
        <v>0</v>
      </c>
      <c r="J6" s="2">
        <v>0</v>
      </c>
      <c r="K6" s="2">
        <v>0</v>
      </c>
      <c r="L6" s="2">
        <v>0</v>
      </c>
      <c r="M6" s="2">
        <v>0</v>
      </c>
      <c r="N6" s="2">
        <v>0</v>
      </c>
      <c r="O6" s="2">
        <v>0</v>
      </c>
      <c r="P6" s="2">
        <v>0</v>
      </c>
      <c r="Q6" s="26">
        <v>0</v>
      </c>
      <c r="R6" s="2">
        <v>0</v>
      </c>
      <c r="S6" s="2">
        <v>0</v>
      </c>
      <c r="T6" s="2">
        <v>0</v>
      </c>
      <c r="U6" s="2">
        <v>0</v>
      </c>
      <c r="V6" s="23" t="s">
        <v>152</v>
      </c>
    </row>
    <row r="7" spans="1:23" x14ac:dyDescent="0.25">
      <c r="A7" s="1" t="s">
        <v>150</v>
      </c>
      <c r="B7" s="1" t="s">
        <v>152</v>
      </c>
      <c r="C7" s="2" t="s">
        <v>28</v>
      </c>
      <c r="D7" s="2">
        <v>0</v>
      </c>
      <c r="E7" s="2">
        <v>0</v>
      </c>
      <c r="F7" s="2">
        <v>0</v>
      </c>
      <c r="G7" s="2">
        <v>0</v>
      </c>
      <c r="H7" s="2">
        <v>0</v>
      </c>
      <c r="I7" s="2">
        <v>0</v>
      </c>
      <c r="J7" s="2">
        <v>0</v>
      </c>
      <c r="K7" s="2">
        <v>0</v>
      </c>
      <c r="L7" s="2">
        <v>0</v>
      </c>
      <c r="M7" s="2">
        <v>0</v>
      </c>
      <c r="N7" s="2">
        <v>0</v>
      </c>
      <c r="O7" s="2">
        <v>0</v>
      </c>
      <c r="P7" s="2">
        <v>0</v>
      </c>
      <c r="Q7" s="26">
        <v>0</v>
      </c>
      <c r="R7" s="2">
        <v>0</v>
      </c>
      <c r="S7" s="2">
        <v>0</v>
      </c>
      <c r="T7" s="2">
        <v>0</v>
      </c>
      <c r="U7" s="2">
        <v>0</v>
      </c>
      <c r="V7" s="23" t="s">
        <v>152</v>
      </c>
    </row>
    <row r="8" spans="1:23" x14ac:dyDescent="0.25">
      <c r="A8" s="1" t="s">
        <v>146</v>
      </c>
      <c r="B8" s="1" t="s">
        <v>152</v>
      </c>
      <c r="C8" s="2" t="s">
        <v>28</v>
      </c>
      <c r="D8" s="2">
        <v>0</v>
      </c>
      <c r="E8" s="2">
        <v>0</v>
      </c>
      <c r="F8" s="2">
        <v>0</v>
      </c>
      <c r="G8" s="2">
        <v>0</v>
      </c>
      <c r="H8" s="2">
        <v>0</v>
      </c>
      <c r="I8" s="2">
        <v>0</v>
      </c>
      <c r="J8" s="2">
        <v>0</v>
      </c>
      <c r="K8" s="2">
        <v>0</v>
      </c>
      <c r="L8" s="2">
        <v>0</v>
      </c>
      <c r="M8" s="2">
        <v>0</v>
      </c>
      <c r="N8" s="2">
        <v>0</v>
      </c>
      <c r="O8" s="2">
        <v>0</v>
      </c>
      <c r="P8" s="2">
        <v>0</v>
      </c>
      <c r="Q8" s="26">
        <v>0</v>
      </c>
      <c r="R8" s="2">
        <v>0</v>
      </c>
      <c r="S8" s="2">
        <v>0</v>
      </c>
      <c r="T8" s="2">
        <v>0</v>
      </c>
      <c r="U8" s="2">
        <v>0</v>
      </c>
      <c r="V8" s="23" t="s">
        <v>152</v>
      </c>
    </row>
    <row r="9" spans="1:23" x14ac:dyDescent="0.25">
      <c r="A9" s="1" t="s">
        <v>147</v>
      </c>
      <c r="B9" s="1" t="s">
        <v>152</v>
      </c>
      <c r="C9" s="2" t="s">
        <v>28</v>
      </c>
      <c r="D9" s="2">
        <v>0</v>
      </c>
      <c r="E9" s="2">
        <v>0</v>
      </c>
      <c r="F9" s="2">
        <v>0</v>
      </c>
      <c r="G9" s="2">
        <v>0</v>
      </c>
      <c r="H9" s="2">
        <v>0</v>
      </c>
      <c r="I9" s="2">
        <v>0</v>
      </c>
      <c r="J9" s="2">
        <v>0</v>
      </c>
      <c r="K9" s="2">
        <v>0</v>
      </c>
      <c r="L9" s="2">
        <v>0</v>
      </c>
      <c r="M9" s="2">
        <v>0</v>
      </c>
      <c r="N9" s="2">
        <v>0</v>
      </c>
      <c r="O9" s="2">
        <v>0</v>
      </c>
      <c r="P9" s="2">
        <v>0</v>
      </c>
      <c r="Q9" s="26">
        <v>0</v>
      </c>
      <c r="R9" s="2">
        <v>0</v>
      </c>
      <c r="S9" s="2">
        <v>0</v>
      </c>
      <c r="T9" s="2">
        <v>0</v>
      </c>
      <c r="U9" s="2">
        <v>0</v>
      </c>
      <c r="V9" s="23" t="s">
        <v>152</v>
      </c>
    </row>
    <row r="10" spans="1:23" x14ac:dyDescent="0.25">
      <c r="A10" s="1" t="s">
        <v>148</v>
      </c>
      <c r="C10" s="2" t="s">
        <v>28</v>
      </c>
      <c r="D10" s="2">
        <v>0</v>
      </c>
      <c r="E10" s="2">
        <v>0</v>
      </c>
      <c r="F10" s="2">
        <v>0</v>
      </c>
      <c r="G10" s="2">
        <v>0</v>
      </c>
      <c r="H10" s="2">
        <v>0</v>
      </c>
      <c r="I10" s="2">
        <v>0</v>
      </c>
      <c r="J10" s="2">
        <v>0</v>
      </c>
      <c r="K10" s="2">
        <v>0</v>
      </c>
      <c r="L10" s="2">
        <v>0</v>
      </c>
      <c r="M10" s="2">
        <v>0</v>
      </c>
      <c r="N10" s="2">
        <v>0</v>
      </c>
      <c r="O10" s="2">
        <v>0</v>
      </c>
      <c r="P10" s="2">
        <v>0</v>
      </c>
      <c r="Q10" s="26">
        <v>0</v>
      </c>
      <c r="R10" s="2">
        <v>0</v>
      </c>
      <c r="S10" s="2">
        <v>0</v>
      </c>
      <c r="T10" s="2">
        <v>0</v>
      </c>
      <c r="U10" s="2">
        <v>0</v>
      </c>
      <c r="V10" s="23"/>
    </row>
    <row r="11" spans="1:23" x14ac:dyDescent="0.25">
      <c r="A11" s="1" t="s">
        <v>149</v>
      </c>
      <c r="C11" s="2" t="s">
        <v>28</v>
      </c>
      <c r="D11" s="2">
        <v>0</v>
      </c>
      <c r="E11" s="2">
        <v>0</v>
      </c>
      <c r="F11" s="2">
        <v>0</v>
      </c>
      <c r="G11" s="2">
        <v>0</v>
      </c>
      <c r="H11" s="2">
        <v>0</v>
      </c>
      <c r="I11" s="2">
        <v>0</v>
      </c>
      <c r="J11" s="2">
        <v>0</v>
      </c>
      <c r="K11" s="2">
        <v>0</v>
      </c>
      <c r="L11" s="2">
        <v>0</v>
      </c>
      <c r="M11" s="2">
        <v>0</v>
      </c>
      <c r="N11" s="2">
        <v>0</v>
      </c>
      <c r="O11" s="2">
        <v>0</v>
      </c>
      <c r="P11" s="2">
        <v>0</v>
      </c>
      <c r="Q11" s="26">
        <v>0</v>
      </c>
      <c r="R11" s="2">
        <v>0</v>
      </c>
      <c r="S11" s="2">
        <v>0</v>
      </c>
      <c r="T11" s="2">
        <v>0</v>
      </c>
      <c r="U11" s="2">
        <v>0</v>
      </c>
      <c r="V11" s="23"/>
    </row>
    <row r="12" spans="1:23" x14ac:dyDescent="0.25">
      <c r="A12" s="1" t="s">
        <v>151</v>
      </c>
      <c r="C12" s="2" t="s">
        <v>28</v>
      </c>
      <c r="D12" s="2">
        <v>0</v>
      </c>
      <c r="E12" s="2">
        <v>0</v>
      </c>
      <c r="F12" s="2">
        <v>0</v>
      </c>
      <c r="G12" s="2">
        <v>0</v>
      </c>
      <c r="H12" s="2">
        <v>0</v>
      </c>
      <c r="I12" s="2">
        <v>0</v>
      </c>
      <c r="J12" s="2">
        <v>0</v>
      </c>
      <c r="K12" s="2">
        <v>0</v>
      </c>
      <c r="L12" s="2">
        <v>0</v>
      </c>
      <c r="M12" s="2">
        <v>0</v>
      </c>
      <c r="N12" s="2">
        <v>0</v>
      </c>
      <c r="O12" s="2">
        <v>0</v>
      </c>
      <c r="P12" s="2">
        <v>0</v>
      </c>
      <c r="Q12" s="26">
        <v>0</v>
      </c>
      <c r="R12" s="2">
        <v>0</v>
      </c>
      <c r="S12" s="2">
        <v>0</v>
      </c>
      <c r="T12" s="2">
        <v>0</v>
      </c>
      <c r="U12" s="2">
        <v>0</v>
      </c>
      <c r="V12" s="23"/>
    </row>
    <row r="13" spans="1:23" x14ac:dyDescent="0.25">
      <c r="A13" s="1" t="s">
        <v>138</v>
      </c>
      <c r="C13" s="2" t="s">
        <v>29</v>
      </c>
      <c r="D13" s="2">
        <v>0</v>
      </c>
      <c r="E13" s="2">
        <v>0</v>
      </c>
      <c r="F13" s="2">
        <v>0</v>
      </c>
      <c r="G13" s="2">
        <v>0</v>
      </c>
      <c r="H13" s="2">
        <v>0</v>
      </c>
      <c r="I13" s="2">
        <v>0</v>
      </c>
      <c r="J13" s="2">
        <v>0</v>
      </c>
      <c r="K13" s="2">
        <v>0</v>
      </c>
      <c r="L13" s="2">
        <v>0</v>
      </c>
      <c r="M13" s="2">
        <v>0</v>
      </c>
      <c r="N13" s="2">
        <v>0</v>
      </c>
      <c r="O13" s="2">
        <v>0</v>
      </c>
      <c r="P13" s="2">
        <v>0</v>
      </c>
      <c r="Q13" s="26">
        <v>0</v>
      </c>
      <c r="R13" s="2">
        <v>0</v>
      </c>
      <c r="S13" s="2">
        <v>0</v>
      </c>
      <c r="T13" s="2">
        <v>0</v>
      </c>
      <c r="U13" s="2">
        <v>0</v>
      </c>
      <c r="V13" s="23"/>
    </row>
    <row r="14" spans="1:23" x14ac:dyDescent="0.25">
      <c r="A14" s="1" t="s">
        <v>138</v>
      </c>
      <c r="C14" s="2" t="s">
        <v>29</v>
      </c>
      <c r="D14" s="2">
        <v>0</v>
      </c>
      <c r="E14" s="2">
        <v>0</v>
      </c>
      <c r="F14" s="2">
        <v>0</v>
      </c>
      <c r="G14" s="2">
        <v>0</v>
      </c>
      <c r="H14" s="2">
        <v>0</v>
      </c>
      <c r="I14" s="2">
        <v>0</v>
      </c>
      <c r="J14" s="2">
        <v>0</v>
      </c>
      <c r="K14" s="2">
        <v>0</v>
      </c>
      <c r="L14" s="2">
        <v>0</v>
      </c>
      <c r="M14" s="2">
        <v>0</v>
      </c>
      <c r="N14" s="2">
        <v>0</v>
      </c>
      <c r="O14" s="2">
        <v>0</v>
      </c>
      <c r="P14" s="2">
        <v>0</v>
      </c>
      <c r="Q14" s="26">
        <v>0</v>
      </c>
      <c r="R14" s="2">
        <v>0</v>
      </c>
      <c r="S14" s="2">
        <v>0</v>
      </c>
      <c r="T14" s="2">
        <v>0</v>
      </c>
      <c r="U14" s="2">
        <v>0</v>
      </c>
      <c r="V14" s="23"/>
    </row>
    <row r="15" spans="1:23" x14ac:dyDescent="0.25">
      <c r="A15" s="1" t="s">
        <v>138</v>
      </c>
      <c r="C15" s="2" t="s">
        <v>29</v>
      </c>
      <c r="D15" s="2">
        <v>0</v>
      </c>
      <c r="E15" s="2">
        <v>0</v>
      </c>
      <c r="F15" s="2">
        <v>0</v>
      </c>
      <c r="G15" s="2">
        <v>0</v>
      </c>
      <c r="H15" s="2">
        <v>0</v>
      </c>
      <c r="I15" s="2">
        <v>0</v>
      </c>
      <c r="J15" s="2">
        <v>0</v>
      </c>
      <c r="K15" s="2">
        <v>0</v>
      </c>
      <c r="L15" s="2">
        <v>0</v>
      </c>
      <c r="M15" s="2">
        <v>0</v>
      </c>
      <c r="N15" s="2">
        <v>0</v>
      </c>
      <c r="O15" s="2">
        <v>0</v>
      </c>
      <c r="P15" s="2">
        <v>0</v>
      </c>
      <c r="Q15" s="26">
        <v>0</v>
      </c>
      <c r="R15" s="2">
        <v>0</v>
      </c>
      <c r="S15" s="2">
        <v>0</v>
      </c>
      <c r="T15" s="2">
        <v>0</v>
      </c>
      <c r="U15" s="2">
        <v>0</v>
      </c>
      <c r="V15" s="23"/>
    </row>
    <row r="16" spans="1:23" x14ac:dyDescent="0.25">
      <c r="A16" s="1" t="s">
        <v>138</v>
      </c>
      <c r="C16" s="2" t="s">
        <v>29</v>
      </c>
      <c r="D16" s="2">
        <v>0</v>
      </c>
      <c r="E16" s="2">
        <v>0</v>
      </c>
      <c r="F16" s="2">
        <v>0</v>
      </c>
      <c r="G16" s="2">
        <v>0</v>
      </c>
      <c r="H16" s="2">
        <v>0</v>
      </c>
      <c r="I16" s="2">
        <v>0</v>
      </c>
      <c r="J16" s="2">
        <v>0</v>
      </c>
      <c r="K16" s="2">
        <v>0</v>
      </c>
      <c r="L16" s="2">
        <v>0</v>
      </c>
      <c r="M16" s="2">
        <v>0</v>
      </c>
      <c r="N16" s="2">
        <v>0</v>
      </c>
      <c r="O16" s="2">
        <v>0</v>
      </c>
      <c r="P16" s="2">
        <v>0</v>
      </c>
      <c r="Q16" s="26">
        <v>0</v>
      </c>
      <c r="R16" s="2">
        <v>0</v>
      </c>
      <c r="S16" s="2">
        <v>0</v>
      </c>
      <c r="T16" s="2">
        <v>0</v>
      </c>
      <c r="U16" s="2">
        <v>0</v>
      </c>
      <c r="V16" s="23"/>
    </row>
    <row r="17" spans="1:22" x14ac:dyDescent="0.25">
      <c r="A17" s="1" t="s">
        <v>138</v>
      </c>
      <c r="C17" s="2" t="s">
        <v>29</v>
      </c>
      <c r="D17" s="2">
        <v>0</v>
      </c>
      <c r="E17" s="2">
        <v>0</v>
      </c>
      <c r="F17" s="2">
        <v>0</v>
      </c>
      <c r="G17" s="2">
        <v>0</v>
      </c>
      <c r="H17" s="2">
        <v>0</v>
      </c>
      <c r="I17" s="2">
        <v>0</v>
      </c>
      <c r="J17" s="2">
        <v>0</v>
      </c>
      <c r="K17" s="2">
        <v>0</v>
      </c>
      <c r="L17" s="2">
        <v>0</v>
      </c>
      <c r="M17" s="2">
        <v>0</v>
      </c>
      <c r="N17" s="2">
        <v>0</v>
      </c>
      <c r="O17" s="2">
        <v>0</v>
      </c>
      <c r="P17" s="2">
        <v>0</v>
      </c>
      <c r="Q17" s="26">
        <v>0</v>
      </c>
      <c r="R17" s="2">
        <v>0</v>
      </c>
      <c r="S17" s="2">
        <v>0</v>
      </c>
      <c r="T17" s="2">
        <v>0</v>
      </c>
      <c r="U17" s="2">
        <v>0</v>
      </c>
      <c r="V17" s="23"/>
    </row>
    <row r="18" spans="1:22" x14ac:dyDescent="0.25">
      <c r="A18" s="1" t="s">
        <v>138</v>
      </c>
      <c r="C18" s="2" t="s">
        <v>29</v>
      </c>
      <c r="D18" s="2">
        <v>0</v>
      </c>
      <c r="E18" s="2">
        <v>0</v>
      </c>
      <c r="F18" s="2">
        <v>0</v>
      </c>
      <c r="G18" s="2">
        <v>0</v>
      </c>
      <c r="H18" s="2">
        <v>0</v>
      </c>
      <c r="I18" s="2">
        <v>0</v>
      </c>
      <c r="J18" s="2">
        <v>0</v>
      </c>
      <c r="K18" s="2">
        <v>0</v>
      </c>
      <c r="L18" s="2">
        <v>0</v>
      </c>
      <c r="M18" s="2">
        <v>0</v>
      </c>
      <c r="N18" s="2">
        <v>0</v>
      </c>
      <c r="O18" s="2">
        <v>0</v>
      </c>
      <c r="P18" s="2">
        <v>0</v>
      </c>
      <c r="Q18" s="26">
        <v>0</v>
      </c>
      <c r="R18" s="2">
        <v>0</v>
      </c>
      <c r="S18" s="2">
        <v>0</v>
      </c>
      <c r="T18" s="2">
        <v>0</v>
      </c>
      <c r="U18" s="2">
        <v>0</v>
      </c>
      <c r="V18" s="23"/>
    </row>
    <row r="19" spans="1:22" x14ac:dyDescent="0.25">
      <c r="A19" s="1" t="s">
        <v>138</v>
      </c>
      <c r="C19" s="2" t="s">
        <v>29</v>
      </c>
      <c r="D19" s="2">
        <v>0</v>
      </c>
      <c r="E19" s="2">
        <v>0</v>
      </c>
      <c r="F19" s="2">
        <v>0</v>
      </c>
      <c r="G19" s="2">
        <v>0</v>
      </c>
      <c r="H19" s="2">
        <v>0</v>
      </c>
      <c r="I19" s="2">
        <v>0</v>
      </c>
      <c r="J19" s="2">
        <v>0</v>
      </c>
      <c r="K19" s="2">
        <v>0</v>
      </c>
      <c r="L19" s="2">
        <v>0</v>
      </c>
      <c r="M19" s="2">
        <v>0</v>
      </c>
      <c r="N19" s="2">
        <v>0</v>
      </c>
      <c r="O19" s="2">
        <v>0</v>
      </c>
      <c r="P19" s="2">
        <v>0</v>
      </c>
      <c r="Q19" s="26">
        <v>0</v>
      </c>
      <c r="R19" s="2">
        <v>0</v>
      </c>
      <c r="S19" s="2">
        <v>0</v>
      </c>
      <c r="T19" s="2">
        <v>0</v>
      </c>
      <c r="U19" s="2">
        <v>0</v>
      </c>
      <c r="V19" s="23"/>
    </row>
    <row r="20" spans="1:22" x14ac:dyDescent="0.25">
      <c r="A20" s="1" t="s">
        <v>138</v>
      </c>
      <c r="C20" s="2" t="s">
        <v>29</v>
      </c>
      <c r="D20" s="2">
        <v>0</v>
      </c>
      <c r="E20" s="2">
        <v>0</v>
      </c>
      <c r="F20" s="2">
        <v>0</v>
      </c>
      <c r="G20" s="2">
        <v>0</v>
      </c>
      <c r="H20" s="2">
        <v>0</v>
      </c>
      <c r="I20" s="2">
        <v>0</v>
      </c>
      <c r="J20" s="2">
        <v>0</v>
      </c>
      <c r="K20" s="2">
        <v>0</v>
      </c>
      <c r="L20" s="2">
        <v>0</v>
      </c>
      <c r="M20" s="2">
        <v>0</v>
      </c>
      <c r="N20" s="2">
        <v>0</v>
      </c>
      <c r="O20" s="2">
        <v>0</v>
      </c>
      <c r="P20" s="2">
        <v>0</v>
      </c>
      <c r="Q20" s="26">
        <v>0</v>
      </c>
      <c r="R20" s="2">
        <v>0</v>
      </c>
      <c r="S20" s="2">
        <v>0</v>
      </c>
      <c r="T20" s="2">
        <v>0</v>
      </c>
      <c r="U20" s="2">
        <v>0</v>
      </c>
      <c r="V20" s="23"/>
    </row>
    <row r="21" spans="1:22" x14ac:dyDescent="0.25">
      <c r="A21" s="1" t="s">
        <v>138</v>
      </c>
      <c r="C21" s="2" t="s">
        <v>29</v>
      </c>
      <c r="D21" s="2">
        <v>0</v>
      </c>
      <c r="E21" s="2">
        <v>0</v>
      </c>
      <c r="F21" s="2">
        <v>0</v>
      </c>
      <c r="G21" s="2">
        <v>0</v>
      </c>
      <c r="H21" s="2">
        <v>0</v>
      </c>
      <c r="I21" s="2">
        <v>0</v>
      </c>
      <c r="J21" s="2">
        <v>0</v>
      </c>
      <c r="K21" s="2">
        <v>0</v>
      </c>
      <c r="L21" s="2">
        <v>0</v>
      </c>
      <c r="M21" s="2">
        <v>0</v>
      </c>
      <c r="N21" s="2">
        <v>0</v>
      </c>
      <c r="O21" s="2">
        <v>0</v>
      </c>
      <c r="P21" s="2">
        <v>0</v>
      </c>
      <c r="Q21" s="26">
        <v>0</v>
      </c>
      <c r="R21" s="2">
        <v>0</v>
      </c>
      <c r="S21" s="2">
        <v>0</v>
      </c>
      <c r="T21" s="2">
        <v>0</v>
      </c>
      <c r="U21" s="2">
        <v>0</v>
      </c>
      <c r="V21" s="23"/>
    </row>
    <row r="22" spans="1:22" x14ac:dyDescent="0.25">
      <c r="A22" s="1" t="s">
        <v>49</v>
      </c>
      <c r="C22" s="2"/>
      <c r="D22" s="2">
        <f>SUMIF(Table12[Enabled],"Yes",Table12[DMG])</f>
        <v>0</v>
      </c>
      <c r="E22" s="2">
        <f>SUMIF(Table12[Enabled],"Yes",Table12[Stamina])</f>
        <v>0</v>
      </c>
      <c r="F22" s="2">
        <f>SUMIF(Table12[Enabled],"Yes",Table12[Stamina])</f>
        <v>0</v>
      </c>
      <c r="G22" s="2">
        <f>SUMIF(Table12[Enabled],"Yes",Table12[Crit DMG])</f>
        <v>0</v>
      </c>
      <c r="H22" s="2">
        <f>SUMIF(Table12[Enabled],"Yes",Table12[Splash])</f>
        <v>0</v>
      </c>
      <c r="I22" s="2">
        <f>SUMIF(Table12[Enabled],"Yes",Table12[Splash 
DMG])</f>
        <v>0</v>
      </c>
      <c r="J22" s="2">
        <f>SUMIF(Table12[Enabled],"Yes",Table12[Exprt.])</f>
        <v>0</v>
      </c>
      <c r="K22" s="2">
        <f>SUMIF(Table12[Enabled],"Yes",Table12[Mvmt.])</f>
        <v>0</v>
      </c>
      <c r="L22" s="2">
        <f>SUMIF(Table12[Enabled],"Yes",Table12[Extra 
Attack])</f>
        <v>0</v>
      </c>
      <c r="M22" s="2">
        <f>SUMIF(Table12[Enabled],"Yes",Table12[Armor])</f>
        <v>0</v>
      </c>
      <c r="N22" s="2">
        <f>SUMIF(Table12[Enabled],"Yes",Table12[Aura])</f>
        <v>0</v>
      </c>
      <c r="O22" s="2">
        <f>SUMIF(Table12[Enabled],"Yes",Table12[Directed Strike])</f>
        <v>0</v>
      </c>
      <c r="P22" s="2">
        <f>SUMIF(Table12[Enabled],"Yes",Table12[INI])</f>
        <v>0</v>
      </c>
      <c r="Q22" s="26">
        <f>SUMIF(Table12[Enabled],"Yes",Table12[STR])</f>
        <v>0</v>
      </c>
      <c r="R22" s="2">
        <f>SUMIF(Table12[Enabled],"Yes",Table12[AGI])</f>
        <v>0</v>
      </c>
      <c r="S22" s="2">
        <f>SUMIF(Table12[Enabled],"Yes",Table12[INU])</f>
        <v>0</v>
      </c>
      <c r="T22" s="2">
        <f>SUMIF(Table12[Enabled],"Yes",Table12[CHA])</f>
        <v>0</v>
      </c>
      <c r="U22" s="2">
        <f>SUMIF(Table12[Enabled],"Yes",Table12[PER])</f>
        <v>0</v>
      </c>
      <c r="V22" s="2"/>
    </row>
    <row r="24" spans="1:22" x14ac:dyDescent="0.25">
      <c r="B24" s="1" t="s">
        <v>164</v>
      </c>
      <c r="C24" s="2" t="s">
        <v>121</v>
      </c>
      <c r="D24" s="2" t="s">
        <v>160</v>
      </c>
      <c r="E24" s="2" t="s">
        <v>180</v>
      </c>
      <c r="F24" s="2" t="s">
        <v>21</v>
      </c>
    </row>
    <row r="25" spans="1:22" x14ac:dyDescent="0.25">
      <c r="A25" s="1" t="s">
        <v>121</v>
      </c>
      <c r="B25" s="1" t="s">
        <v>138</v>
      </c>
      <c r="C25" s="2">
        <f>VLOOKUP($B$25,ARMOR_TYPE,2,FALSE)</f>
        <v>0</v>
      </c>
      <c r="D25" s="2">
        <f>VLOOKUP($B$25,ARMOR_TYPE,3,FALSE)</f>
        <v>0</v>
      </c>
      <c r="E25" s="2">
        <f>VLOOKUP($B$25,ARMOR_TYPE,4,FALSE)</f>
        <v>0</v>
      </c>
      <c r="F25" s="2">
        <v>0</v>
      </c>
    </row>
    <row r="26" spans="1:22" x14ac:dyDescent="0.25">
      <c r="A26" s="1" t="s">
        <v>169</v>
      </c>
      <c r="B26" s="1" t="s">
        <v>138</v>
      </c>
      <c r="C26" s="2">
        <f>VLOOKUP($B$26,SHIELD_TYPE,2,FALSE)</f>
        <v>0</v>
      </c>
      <c r="D26" s="2">
        <f>VLOOKUP($B$26,SHIELD_TYPE,3,FALSE)</f>
        <v>0</v>
      </c>
      <c r="E26" s="2">
        <f>VLOOKUP($B$26,SHIELD_TYPE,4,FALSE)</f>
        <v>0</v>
      </c>
      <c r="F26" s="2">
        <f>VLOOKUP($B$26,SHIELD_TYPE,5,FALSE)</f>
        <v>0</v>
      </c>
    </row>
    <row r="27" spans="1:22" x14ac:dyDescent="0.25">
      <c r="A27" s="77" t="s">
        <v>210</v>
      </c>
      <c r="B27" s="77"/>
      <c r="C27" s="78">
        <f>SUM(C25:C26)</f>
        <v>0</v>
      </c>
      <c r="D27" s="78">
        <f>SUM(D25:D26)</f>
        <v>0</v>
      </c>
      <c r="E27" s="78">
        <f>SUM(E25:E26)</f>
        <v>0</v>
      </c>
      <c r="F27" s="78">
        <f>SUM(F25:F26)</f>
        <v>0</v>
      </c>
    </row>
  </sheetData>
  <mergeCells count="2">
    <mergeCell ref="Q1:U1"/>
    <mergeCell ref="C1:P1"/>
  </mergeCells>
  <dataValidations count="1">
    <dataValidation type="list" allowBlank="1" showInputMessage="1" showErrorMessage="1" sqref="C3:C21" xr:uid="{DA8093F0-6190-5846-8F73-9A105F0DCE86}">
      <formula1>Yes_No</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2">
        <x14:dataValidation type="list" allowBlank="1" showInputMessage="1" showErrorMessage="1" xr:uid="{7019BB2C-0302-2546-851E-E0D674281FA0}">
          <x14:formula1>
            <xm:f>'Lookup Data'!$I$2:$I$10</xm:f>
          </x14:formula1>
          <xm:sqref>B25</xm:sqref>
        </x14:dataValidation>
        <x14:dataValidation type="list" allowBlank="1" showInputMessage="1" showErrorMessage="1" xr:uid="{C3C85D2B-7D3C-6940-95C8-DA6E5ACD9743}">
          <x14:formula1>
            <xm:f>'Lookup Data'!$O$2:$O$10</xm:f>
          </x14:formula1>
          <xm:sqref>B26</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B68C3C-3C12-4D4F-9D52-B8CC523665F7}">
  <dimension ref="A1:AC27"/>
  <sheetViews>
    <sheetView topLeftCell="M2" workbookViewId="0">
      <selection activeCell="Z3" sqref="Z3"/>
    </sheetView>
  </sheetViews>
  <sheetFormatPr baseColWidth="10" defaultRowHeight="21" x14ac:dyDescent="0.25"/>
  <cols>
    <col min="1" max="1" width="30" style="1" customWidth="1"/>
    <col min="2" max="2" width="11.33203125" style="1" customWidth="1"/>
    <col min="3" max="3" width="12" style="1" customWidth="1"/>
    <col min="4" max="4" width="7.83203125" style="1" customWidth="1"/>
    <col min="5" max="5" width="9.6640625" style="1" customWidth="1"/>
    <col min="6" max="16" width="12.5" style="1" customWidth="1"/>
    <col min="17" max="25" width="10.83203125" style="1"/>
    <col min="26" max="26" width="49.5" style="1" customWidth="1"/>
    <col min="27" max="16384" width="10.83203125" style="1"/>
  </cols>
  <sheetData>
    <row r="1" spans="1:29" x14ac:dyDescent="0.25">
      <c r="C1" s="118" t="s">
        <v>106</v>
      </c>
      <c r="D1" s="118"/>
      <c r="E1" s="118"/>
      <c r="F1" s="118" t="s">
        <v>63</v>
      </c>
      <c r="G1" s="118"/>
      <c r="H1" s="118"/>
      <c r="I1" s="118"/>
      <c r="J1" s="118"/>
      <c r="K1" s="118"/>
      <c r="L1" s="118"/>
      <c r="M1" s="118"/>
      <c r="N1" s="118"/>
      <c r="O1" s="118"/>
      <c r="P1" s="118"/>
      <c r="Q1" s="118"/>
      <c r="R1" s="118"/>
      <c r="S1" s="118" t="s">
        <v>187</v>
      </c>
      <c r="T1" s="118"/>
      <c r="U1" s="118"/>
      <c r="V1" s="118"/>
      <c r="W1" s="118"/>
    </row>
    <row r="2" spans="1:29" ht="42" customHeight="1" x14ac:dyDescent="0.25">
      <c r="A2" s="20" t="s">
        <v>22</v>
      </c>
      <c r="B2" s="20" t="s">
        <v>153</v>
      </c>
      <c r="C2" s="20" t="s">
        <v>164</v>
      </c>
      <c r="D2" s="28" t="s">
        <v>184</v>
      </c>
      <c r="E2" s="20" t="s">
        <v>185</v>
      </c>
      <c r="F2" s="20" t="s">
        <v>186</v>
      </c>
      <c r="G2" s="20" t="s">
        <v>160</v>
      </c>
      <c r="H2" s="27" t="s">
        <v>109</v>
      </c>
      <c r="I2" s="21" t="s">
        <v>111</v>
      </c>
      <c r="J2" s="21" t="s">
        <v>112</v>
      </c>
      <c r="K2" s="21" t="s">
        <v>114</v>
      </c>
      <c r="L2" s="21" t="s">
        <v>140</v>
      </c>
      <c r="M2" s="21" t="s">
        <v>156</v>
      </c>
      <c r="N2" s="21" t="s">
        <v>154</v>
      </c>
      <c r="O2" s="21" t="s">
        <v>155</v>
      </c>
      <c r="P2" s="21" t="s">
        <v>157</v>
      </c>
      <c r="Q2" s="21" t="s">
        <v>121</v>
      </c>
      <c r="R2" s="21" t="s">
        <v>122</v>
      </c>
      <c r="S2" s="21" t="s">
        <v>141</v>
      </c>
      <c r="T2" s="22" t="s">
        <v>219</v>
      </c>
      <c r="U2" s="25" t="s">
        <v>36</v>
      </c>
      <c r="V2" s="22" t="s">
        <v>37</v>
      </c>
      <c r="W2" s="22" t="s">
        <v>38</v>
      </c>
      <c r="X2" s="22" t="s">
        <v>55</v>
      </c>
      <c r="Y2" s="22" t="s">
        <v>39</v>
      </c>
      <c r="Z2" s="21" t="s">
        <v>108</v>
      </c>
      <c r="AC2" s="1" t="s">
        <v>153</v>
      </c>
    </row>
    <row r="3" spans="1:29" x14ac:dyDescent="0.25">
      <c r="A3" s="1" t="s">
        <v>183</v>
      </c>
      <c r="B3" s="2" t="s">
        <v>28</v>
      </c>
      <c r="C3" s="2" t="s">
        <v>205</v>
      </c>
      <c r="D3" s="4">
        <v>1</v>
      </c>
      <c r="E3" s="2">
        <v>4</v>
      </c>
      <c r="F3" s="2">
        <v>0</v>
      </c>
      <c r="G3" s="2">
        <v>10</v>
      </c>
      <c r="H3" s="4">
        <v>0</v>
      </c>
      <c r="I3" s="2">
        <v>0</v>
      </c>
      <c r="J3" s="2">
        <v>0</v>
      </c>
      <c r="K3" s="2">
        <v>0</v>
      </c>
      <c r="L3" s="2">
        <v>0</v>
      </c>
      <c r="M3" s="2">
        <v>0</v>
      </c>
      <c r="N3" s="2">
        <v>0</v>
      </c>
      <c r="O3" s="2">
        <v>0</v>
      </c>
      <c r="P3" s="2">
        <v>0</v>
      </c>
      <c r="Q3" s="2">
        <v>0</v>
      </c>
      <c r="R3" s="2">
        <v>0</v>
      </c>
      <c r="S3" s="2">
        <v>0</v>
      </c>
      <c r="T3" s="2">
        <v>0</v>
      </c>
      <c r="U3" s="26">
        <v>0</v>
      </c>
      <c r="V3" s="2">
        <v>0</v>
      </c>
      <c r="W3" s="2">
        <v>0</v>
      </c>
      <c r="X3" s="2">
        <v>0</v>
      </c>
      <c r="Y3" s="2">
        <v>0</v>
      </c>
      <c r="Z3" s="79" t="str">
        <f>Table1218[[#This Row],[Name]] &amp; ": " &amp; Table1218[[#This Row],['#]] &amp; "d" &amp; Table1218[[#This Row],[Dice]] &amp; "+" &amp; Table1218[[#This Row],[Constant]] + IF(Table1218[[#This Row],[Type]]="Melee",STR, 0) + IF(Table1218[[#This Row],[Type]]="Ranged",AGI, 0) + IF(Table1218[[#This Row],[Type]]="Magic",INU,0) + FEAT_DMG</f>
        <v>Dagger: 1d4+1</v>
      </c>
      <c r="AC3" s="1" t="s">
        <v>28</v>
      </c>
    </row>
    <row r="4" spans="1:29" x14ac:dyDescent="0.25">
      <c r="A4" s="1" t="s">
        <v>220</v>
      </c>
      <c r="B4" s="2" t="s">
        <v>29</v>
      </c>
      <c r="C4" s="2" t="s">
        <v>205</v>
      </c>
      <c r="D4" s="4">
        <v>1</v>
      </c>
      <c r="E4" s="2">
        <v>12</v>
      </c>
      <c r="F4" s="2">
        <v>1</v>
      </c>
      <c r="G4" s="2">
        <v>18</v>
      </c>
      <c r="H4" s="4">
        <v>0</v>
      </c>
      <c r="I4" s="2">
        <v>0</v>
      </c>
      <c r="J4" s="2">
        <v>0</v>
      </c>
      <c r="K4" s="2">
        <v>0</v>
      </c>
      <c r="L4" s="2">
        <v>0</v>
      </c>
      <c r="M4" s="2">
        <v>0</v>
      </c>
      <c r="N4" s="2">
        <v>0</v>
      </c>
      <c r="O4" s="2">
        <v>0</v>
      </c>
      <c r="P4" s="2">
        <v>0</v>
      </c>
      <c r="Q4" s="2">
        <v>0</v>
      </c>
      <c r="R4" s="2">
        <v>0</v>
      </c>
      <c r="S4" s="2">
        <v>0</v>
      </c>
      <c r="T4" s="2">
        <v>0</v>
      </c>
      <c r="U4" s="26">
        <v>0</v>
      </c>
      <c r="V4" s="2">
        <v>0</v>
      </c>
      <c r="W4" s="2">
        <v>0</v>
      </c>
      <c r="X4" s="2">
        <v>0</v>
      </c>
      <c r="Y4" s="2">
        <v>0</v>
      </c>
      <c r="Z4" s="79" t="str">
        <f>Table1218[[#This Row],[Name]] &amp; ": " &amp; Table1218[[#This Row],['#]] &amp; "d" &amp; Table1218[[#This Row],[Dice]] &amp; "+" &amp; Table1218[[#This Row],[Constant]] + IF(Table1218[[#This Row],[Type]]="Melee",STR, 0) + IF(Table1218[[#This Row],[Type]]="Ranged",AGI, 0) + IF(Table1218[[#This Row],[Type]]="Magic",INU,0) + FEAT_DMG</f>
        <v>2-H Warhammer: 1d12+2</v>
      </c>
    </row>
    <row r="5" spans="1:29" x14ac:dyDescent="0.25">
      <c r="A5" s="1" t="s">
        <v>224</v>
      </c>
      <c r="B5" s="2" t="s">
        <v>29</v>
      </c>
      <c r="C5" s="2" t="s">
        <v>205</v>
      </c>
      <c r="D5" s="4">
        <v>1</v>
      </c>
      <c r="E5" s="2">
        <v>12</v>
      </c>
      <c r="F5" s="2">
        <v>0</v>
      </c>
      <c r="G5" s="2">
        <v>16</v>
      </c>
      <c r="H5" s="4">
        <v>0</v>
      </c>
      <c r="I5" s="2">
        <v>0</v>
      </c>
      <c r="J5" s="2">
        <v>0</v>
      </c>
      <c r="K5" s="2">
        <v>0</v>
      </c>
      <c r="L5" s="2">
        <v>0</v>
      </c>
      <c r="M5" s="2">
        <v>0</v>
      </c>
      <c r="N5" s="2">
        <v>0</v>
      </c>
      <c r="O5" s="2">
        <v>0</v>
      </c>
      <c r="P5" s="2">
        <v>0</v>
      </c>
      <c r="Q5" s="2">
        <v>0</v>
      </c>
      <c r="R5" s="2">
        <v>0</v>
      </c>
      <c r="S5" s="2">
        <v>0</v>
      </c>
      <c r="T5" s="2">
        <v>0</v>
      </c>
      <c r="U5" s="26">
        <v>0</v>
      </c>
      <c r="V5" s="2">
        <v>0</v>
      </c>
      <c r="W5" s="2">
        <v>0</v>
      </c>
      <c r="X5" s="2">
        <v>0</v>
      </c>
      <c r="Y5" s="2">
        <v>0</v>
      </c>
      <c r="Z5" s="79" t="str">
        <f>Table1218[[#This Row],[Name]] &amp; ": " &amp; Table1218[[#This Row],['#]] &amp; "d" &amp; Table1218[[#This Row],[Dice]] &amp; "+" &amp; Table1218[[#This Row],[Constant]] + IF(Table1218[[#This Row],[Type]]="Melee",STR, 0) + IF(Table1218[[#This Row],[Type]]="Ranged",AGI, 0) + IF(Table1218[[#This Row],[Type]]="Magic",INU,0) + FEAT_DMG</f>
        <v>Greataxe: 1d12+1</v>
      </c>
    </row>
    <row r="6" spans="1:29" x14ac:dyDescent="0.25">
      <c r="A6" s="1" t="s">
        <v>223</v>
      </c>
      <c r="B6" s="2" t="s">
        <v>29</v>
      </c>
      <c r="C6" s="2" t="s">
        <v>205</v>
      </c>
      <c r="D6" s="4">
        <v>1</v>
      </c>
      <c r="E6" s="2">
        <v>8</v>
      </c>
      <c r="F6" s="2">
        <v>0</v>
      </c>
      <c r="G6" s="2">
        <v>14</v>
      </c>
      <c r="H6" s="4">
        <v>0</v>
      </c>
      <c r="I6" s="2">
        <v>0</v>
      </c>
      <c r="J6" s="2">
        <v>0</v>
      </c>
      <c r="K6" s="2">
        <v>0</v>
      </c>
      <c r="L6" s="2">
        <v>0</v>
      </c>
      <c r="M6" s="2">
        <v>0</v>
      </c>
      <c r="N6" s="2">
        <v>0</v>
      </c>
      <c r="O6" s="2">
        <v>0</v>
      </c>
      <c r="P6" s="2">
        <v>0</v>
      </c>
      <c r="Q6" s="2">
        <v>0</v>
      </c>
      <c r="R6" s="2">
        <v>0</v>
      </c>
      <c r="S6" s="2">
        <v>0</v>
      </c>
      <c r="T6" s="2">
        <v>0</v>
      </c>
      <c r="U6" s="26">
        <v>0</v>
      </c>
      <c r="V6" s="2">
        <v>0</v>
      </c>
      <c r="W6" s="2">
        <v>0</v>
      </c>
      <c r="X6" s="2">
        <v>0</v>
      </c>
      <c r="Y6" s="2">
        <v>0</v>
      </c>
      <c r="Z6" s="79" t="str">
        <f>Table1218[[#This Row],[Name]] &amp; ": " &amp; Table1218[[#This Row],['#]] &amp; "d" &amp; Table1218[[#This Row],[Dice]] &amp; "+" &amp; Table1218[[#This Row],[Constant]] + IF(Table1218[[#This Row],[Type]]="Melee",STR, 0) + IF(Table1218[[#This Row],[Type]]="Ranged",AGI, 0) + IF(Table1218[[#This Row],[Type]]="Magic",INU,0) + FEAT_DMG</f>
        <v>Longsword: 1d8+1</v>
      </c>
    </row>
    <row r="7" spans="1:29" x14ac:dyDescent="0.25">
      <c r="A7" s="1" t="s">
        <v>221</v>
      </c>
      <c r="B7" s="2" t="s">
        <v>29</v>
      </c>
      <c r="C7" s="2" t="s">
        <v>205</v>
      </c>
      <c r="D7" s="4">
        <v>1</v>
      </c>
      <c r="E7" s="2">
        <v>6</v>
      </c>
      <c r="F7" s="2">
        <v>0</v>
      </c>
      <c r="G7" s="2">
        <v>10</v>
      </c>
      <c r="H7" s="4">
        <v>0</v>
      </c>
      <c r="I7" s="2">
        <v>0</v>
      </c>
      <c r="J7" s="2">
        <v>0</v>
      </c>
      <c r="K7" s="2">
        <v>0</v>
      </c>
      <c r="L7" s="2">
        <v>0</v>
      </c>
      <c r="M7" s="2">
        <v>0</v>
      </c>
      <c r="N7" s="2">
        <v>0</v>
      </c>
      <c r="O7" s="2">
        <v>0</v>
      </c>
      <c r="P7" s="2">
        <v>0</v>
      </c>
      <c r="Q7" s="2">
        <v>0</v>
      </c>
      <c r="R7" s="2">
        <v>0</v>
      </c>
      <c r="S7" s="2">
        <v>0</v>
      </c>
      <c r="T7" s="2">
        <v>0</v>
      </c>
      <c r="U7" s="26">
        <v>0</v>
      </c>
      <c r="V7" s="2">
        <v>0</v>
      </c>
      <c r="W7" s="2">
        <v>0</v>
      </c>
      <c r="X7" s="2">
        <v>0</v>
      </c>
      <c r="Y7" s="2">
        <v>0</v>
      </c>
      <c r="Z7" s="79" t="str">
        <f>Table1218[[#This Row],[Name]] &amp; ": " &amp; Table1218[[#This Row],['#]] &amp; "d" &amp; Table1218[[#This Row],[Dice]] &amp; "+" &amp; Table1218[[#This Row],[Constant]] + IF(Table1218[[#This Row],[Type]]="Melee",STR, 0) + IF(Table1218[[#This Row],[Type]]="Ranged",AGI, 0) + IF(Table1218[[#This Row],[Type]]="Magic",INU,0) + FEAT_DMG</f>
        <v>Spear: 1d6+1</v>
      </c>
    </row>
    <row r="8" spans="1:29" x14ac:dyDescent="0.25">
      <c r="A8" s="1" t="s">
        <v>222</v>
      </c>
      <c r="B8" s="2" t="s">
        <v>29</v>
      </c>
      <c r="C8" s="2" t="s">
        <v>205</v>
      </c>
      <c r="D8" s="4">
        <v>2</v>
      </c>
      <c r="E8" s="2">
        <v>6</v>
      </c>
      <c r="F8" s="2">
        <v>0</v>
      </c>
      <c r="G8" s="2">
        <v>18</v>
      </c>
      <c r="H8" s="4">
        <v>0</v>
      </c>
      <c r="I8" s="2">
        <v>0</v>
      </c>
      <c r="J8" s="2">
        <v>0</v>
      </c>
      <c r="K8" s="2">
        <v>0</v>
      </c>
      <c r="L8" s="2">
        <v>0</v>
      </c>
      <c r="M8" s="2">
        <v>0</v>
      </c>
      <c r="N8" s="2">
        <v>0</v>
      </c>
      <c r="O8" s="2">
        <v>0</v>
      </c>
      <c r="P8" s="2">
        <v>0</v>
      </c>
      <c r="Q8" s="2">
        <v>0</v>
      </c>
      <c r="R8" s="2">
        <v>0</v>
      </c>
      <c r="S8" s="2">
        <v>0</v>
      </c>
      <c r="T8" s="2">
        <v>0</v>
      </c>
      <c r="U8" s="26">
        <v>0</v>
      </c>
      <c r="V8" s="2">
        <v>0</v>
      </c>
      <c r="W8" s="2">
        <v>0</v>
      </c>
      <c r="X8" s="2">
        <v>0</v>
      </c>
      <c r="Y8" s="2">
        <v>0</v>
      </c>
      <c r="Z8" s="79" t="str">
        <f>Table1218[[#This Row],[Name]] &amp; ": " &amp; Table1218[[#This Row],['#]] &amp; "d" &amp; Table1218[[#This Row],[Dice]] &amp; "+" &amp; Table1218[[#This Row],[Constant]] + IF(Table1218[[#This Row],[Type]]="Melee",STR, 0) + IF(Table1218[[#This Row],[Type]]="Ranged",AGI, 0) + IF(Table1218[[#This Row],[Type]]="Magic",INU,0) + FEAT_DMG</f>
        <v>Maul (2-H): 2d6+1</v>
      </c>
    </row>
    <row r="9" spans="1:29" x14ac:dyDescent="0.25">
      <c r="A9" s="1" t="s">
        <v>225</v>
      </c>
      <c r="B9" s="2" t="s">
        <v>29</v>
      </c>
      <c r="C9" s="2" t="s">
        <v>206</v>
      </c>
      <c r="D9" s="4">
        <v>1</v>
      </c>
      <c r="E9" s="2">
        <v>8</v>
      </c>
      <c r="F9" s="2">
        <v>0</v>
      </c>
      <c r="G9" s="2">
        <v>16</v>
      </c>
      <c r="H9" s="4">
        <v>0</v>
      </c>
      <c r="I9" s="2">
        <v>0</v>
      </c>
      <c r="J9" s="2">
        <v>0</v>
      </c>
      <c r="K9" s="2">
        <v>0</v>
      </c>
      <c r="L9" s="2">
        <v>0</v>
      </c>
      <c r="M9" s="2">
        <v>0</v>
      </c>
      <c r="N9" s="2">
        <v>0</v>
      </c>
      <c r="O9" s="2">
        <v>0</v>
      </c>
      <c r="P9" s="2">
        <v>0</v>
      </c>
      <c r="Q9" s="2">
        <v>0</v>
      </c>
      <c r="R9" s="2">
        <v>0</v>
      </c>
      <c r="S9" s="2">
        <v>0</v>
      </c>
      <c r="T9" s="2">
        <v>0</v>
      </c>
      <c r="U9" s="26">
        <v>0</v>
      </c>
      <c r="V9" s="2">
        <v>0</v>
      </c>
      <c r="W9" s="2">
        <v>0</v>
      </c>
      <c r="X9" s="2">
        <v>0</v>
      </c>
      <c r="Y9" s="2">
        <v>0</v>
      </c>
      <c r="Z9" s="79" t="str">
        <f>Table1218[[#This Row],[Name]] &amp; ": " &amp; Table1218[[#This Row],['#]] &amp; "d" &amp; Table1218[[#This Row],[Dice]] &amp; "+" &amp; Table1218[[#This Row],[Constant]] + IF(Table1218[[#This Row],[Type]]="Melee",STR, 0) + IF(Table1218[[#This Row],[Type]]="Ranged",AGI, 0) + IF(Table1218[[#This Row],[Type]]="Magic",INU,0) + FEAT_DMG</f>
        <v>Longbow: 1d8+1</v>
      </c>
    </row>
    <row r="10" spans="1:29" x14ac:dyDescent="0.25">
      <c r="A10" s="1" t="s">
        <v>226</v>
      </c>
      <c r="B10" s="2" t="s">
        <v>29</v>
      </c>
      <c r="C10" s="2" t="s">
        <v>206</v>
      </c>
      <c r="D10" s="4">
        <v>1</v>
      </c>
      <c r="E10" s="2">
        <v>4</v>
      </c>
      <c r="F10" s="2">
        <v>0</v>
      </c>
      <c r="G10" s="2">
        <v>12</v>
      </c>
      <c r="H10" s="4">
        <v>0</v>
      </c>
      <c r="I10" s="2">
        <v>0</v>
      </c>
      <c r="J10" s="2">
        <v>0</v>
      </c>
      <c r="K10" s="2">
        <v>0</v>
      </c>
      <c r="L10" s="2">
        <v>0</v>
      </c>
      <c r="M10" s="2">
        <v>0</v>
      </c>
      <c r="N10" s="2">
        <v>0</v>
      </c>
      <c r="O10" s="2">
        <v>0</v>
      </c>
      <c r="P10" s="2">
        <v>0</v>
      </c>
      <c r="Q10" s="2">
        <v>0</v>
      </c>
      <c r="R10" s="2">
        <v>0</v>
      </c>
      <c r="S10" s="2">
        <v>0</v>
      </c>
      <c r="T10" s="2">
        <v>0</v>
      </c>
      <c r="U10" s="26">
        <v>0</v>
      </c>
      <c r="V10" s="2">
        <v>0</v>
      </c>
      <c r="W10" s="2">
        <v>0</v>
      </c>
      <c r="X10" s="2">
        <v>0</v>
      </c>
      <c r="Y10" s="2">
        <v>0</v>
      </c>
      <c r="Z10" s="79" t="str">
        <f>Table1218[[#This Row],[Name]] &amp; ": " &amp; Table1218[[#This Row],['#]] &amp; "d" &amp; Table1218[[#This Row],[Dice]] &amp; "+" &amp; Table1218[[#This Row],[Constant]] + IF(Table1218[[#This Row],[Type]]="Melee",STR, 0) + IF(Table1218[[#This Row],[Type]]="Ranged",AGI, 0) + IF(Table1218[[#This Row],[Type]]="Magic",INU,0) + FEAT_DMG</f>
        <v>Shortbow: 1d4+1</v>
      </c>
    </row>
    <row r="11" spans="1:29" x14ac:dyDescent="0.25">
      <c r="A11" s="1" t="s">
        <v>227</v>
      </c>
      <c r="B11" s="2" t="s">
        <v>29</v>
      </c>
      <c r="C11" s="2" t="s">
        <v>207</v>
      </c>
      <c r="D11" s="4">
        <v>1</v>
      </c>
      <c r="E11" s="2">
        <v>4</v>
      </c>
      <c r="F11" s="2">
        <v>0</v>
      </c>
      <c r="G11" s="2">
        <v>10</v>
      </c>
      <c r="H11" s="4">
        <v>0</v>
      </c>
      <c r="I11" s="2">
        <v>0</v>
      </c>
      <c r="J11" s="2">
        <v>0</v>
      </c>
      <c r="K11" s="2">
        <v>0</v>
      </c>
      <c r="L11" s="2">
        <v>0</v>
      </c>
      <c r="M11" s="2">
        <v>0</v>
      </c>
      <c r="N11" s="2">
        <v>0</v>
      </c>
      <c r="O11" s="2">
        <v>0</v>
      </c>
      <c r="P11" s="2">
        <v>0</v>
      </c>
      <c r="Q11" s="2">
        <v>0</v>
      </c>
      <c r="R11" s="2">
        <v>0</v>
      </c>
      <c r="S11" s="2">
        <v>0</v>
      </c>
      <c r="T11" s="2">
        <v>0</v>
      </c>
      <c r="U11" s="26">
        <v>0</v>
      </c>
      <c r="V11" s="2">
        <v>0</v>
      </c>
      <c r="W11" s="2">
        <v>0</v>
      </c>
      <c r="X11" s="2">
        <v>0</v>
      </c>
      <c r="Y11" s="2">
        <v>0</v>
      </c>
      <c r="Z11" s="79" t="str">
        <f>Table1218[[#This Row],[Name]] &amp; ": " &amp; Table1218[[#This Row],['#]] &amp; "d" &amp; Table1218[[#This Row],[Dice]] &amp; "+" &amp; Table1218[[#This Row],[Constant]] + IF(Table1218[[#This Row],[Type]]="Melee",STR, 0) + IF(Table1218[[#This Row],[Type]]="Ranged",AGI, 0) + IF(Table1218[[#This Row],[Type]]="Magic",INU,0) + FEAT_DMG</f>
        <v>Source: 1d4+1</v>
      </c>
    </row>
    <row r="12" spans="1:29" x14ac:dyDescent="0.25">
      <c r="A12" s="1" t="s">
        <v>228</v>
      </c>
      <c r="B12" s="2" t="s">
        <v>29</v>
      </c>
      <c r="C12" s="2" t="s">
        <v>205</v>
      </c>
      <c r="D12" s="4">
        <v>1</v>
      </c>
      <c r="E12" s="2">
        <v>12</v>
      </c>
      <c r="F12" s="2">
        <v>1</v>
      </c>
      <c r="G12" s="2">
        <v>18</v>
      </c>
      <c r="H12" s="4">
        <v>0</v>
      </c>
      <c r="I12" s="2">
        <v>0</v>
      </c>
      <c r="J12" s="2">
        <v>0</v>
      </c>
      <c r="K12" s="2">
        <v>0</v>
      </c>
      <c r="L12" s="2">
        <v>0</v>
      </c>
      <c r="M12" s="2">
        <v>0</v>
      </c>
      <c r="N12" s="2">
        <v>0</v>
      </c>
      <c r="O12" s="2">
        <v>0</v>
      </c>
      <c r="P12" s="2">
        <v>0</v>
      </c>
      <c r="Q12" s="2">
        <v>0</v>
      </c>
      <c r="R12" s="2">
        <v>0</v>
      </c>
      <c r="S12" s="2">
        <v>0</v>
      </c>
      <c r="T12" s="2">
        <v>0</v>
      </c>
      <c r="U12" s="26">
        <v>0</v>
      </c>
      <c r="V12" s="2">
        <v>0</v>
      </c>
      <c r="W12" s="2">
        <v>0</v>
      </c>
      <c r="X12" s="2">
        <v>0</v>
      </c>
      <c r="Y12" s="2">
        <v>0</v>
      </c>
      <c r="Z12" s="79" t="str">
        <f>Table1218[[#This Row],[Name]] &amp; ": " &amp; Table1218[[#This Row],['#]] &amp; "d" &amp; Table1218[[#This Row],[Dice]] &amp; "+" &amp; Table1218[[#This Row],[Constant]] + IF(Table1218[[#This Row],[Type]]="Melee",STR, 0) + IF(Table1218[[#This Row],[Type]]="Ranged",AGI, 0) + IF(Table1218[[#This Row],[Type]]="Magic",INU,0) + FEAT_DMG</f>
        <v>Wand: 1d12+2</v>
      </c>
    </row>
    <row r="13" spans="1:29" x14ac:dyDescent="0.25">
      <c r="B13" s="2" t="s">
        <v>29</v>
      </c>
      <c r="C13" s="2"/>
      <c r="D13" s="4"/>
      <c r="E13" s="2"/>
      <c r="F13" s="2"/>
      <c r="G13" s="2"/>
      <c r="H13" s="4">
        <v>0</v>
      </c>
      <c r="I13" s="2">
        <v>0</v>
      </c>
      <c r="J13" s="2">
        <v>0</v>
      </c>
      <c r="K13" s="2">
        <v>0</v>
      </c>
      <c r="L13" s="2">
        <v>0</v>
      </c>
      <c r="M13" s="2">
        <v>0</v>
      </c>
      <c r="N13" s="2">
        <v>0</v>
      </c>
      <c r="O13" s="2">
        <v>0</v>
      </c>
      <c r="P13" s="2">
        <v>0</v>
      </c>
      <c r="Q13" s="2">
        <v>0</v>
      </c>
      <c r="R13" s="2">
        <v>0</v>
      </c>
      <c r="S13" s="2">
        <v>0</v>
      </c>
      <c r="T13" s="2">
        <v>0</v>
      </c>
      <c r="U13" s="26">
        <v>0</v>
      </c>
      <c r="V13" s="2">
        <v>0</v>
      </c>
      <c r="W13" s="2">
        <v>0</v>
      </c>
      <c r="X13" s="2">
        <v>0</v>
      </c>
      <c r="Y13" s="2">
        <v>0</v>
      </c>
      <c r="Z13" s="79" t="str">
        <f>Table1218[[#This Row],[Name]] &amp; ": " &amp; Table1218[[#This Row],['#]] &amp; "d" &amp; Table1218[[#This Row],[Dice]] &amp; "+" &amp; Table1218[[#This Row],[Constant]] + IF(Table1218[[#This Row],[Type]]="Melee",STR, 0) + IF(Table1218[[#This Row],[Type]]="Ranged",AGI, 0) + IF(Table1218[[#This Row],[Type]]="Magic",INU,0) + FEAT_DMG</f>
        <v>: d+0</v>
      </c>
    </row>
    <row r="14" spans="1:29" x14ac:dyDescent="0.25">
      <c r="B14" s="2" t="s">
        <v>29</v>
      </c>
      <c r="C14" s="2"/>
      <c r="D14" s="4"/>
      <c r="E14" s="2"/>
      <c r="F14" s="2"/>
      <c r="G14" s="2"/>
      <c r="H14" s="4">
        <v>0</v>
      </c>
      <c r="I14" s="2">
        <v>0</v>
      </c>
      <c r="J14" s="2">
        <v>0</v>
      </c>
      <c r="K14" s="2">
        <v>0</v>
      </c>
      <c r="L14" s="2">
        <v>0</v>
      </c>
      <c r="M14" s="2">
        <v>0</v>
      </c>
      <c r="N14" s="2">
        <v>0</v>
      </c>
      <c r="O14" s="2">
        <v>0</v>
      </c>
      <c r="P14" s="2">
        <v>0</v>
      </c>
      <c r="Q14" s="2">
        <v>0</v>
      </c>
      <c r="R14" s="2">
        <v>0</v>
      </c>
      <c r="S14" s="2">
        <v>0</v>
      </c>
      <c r="T14" s="2">
        <v>0</v>
      </c>
      <c r="U14" s="26">
        <v>0</v>
      </c>
      <c r="V14" s="2">
        <v>0</v>
      </c>
      <c r="W14" s="2">
        <v>0</v>
      </c>
      <c r="X14" s="2">
        <v>0</v>
      </c>
      <c r="Y14" s="2">
        <v>0</v>
      </c>
      <c r="Z14" s="79" t="str">
        <f>Table1218[[#This Row],[Name]] &amp; ": " &amp; Table1218[[#This Row],['#]] &amp; "d" &amp; Table1218[[#This Row],[Dice]] &amp; "+" &amp; Table1218[[#This Row],[Constant]] + IF(Table1218[[#This Row],[Type]]="Melee",STR, 0) + IF(Table1218[[#This Row],[Type]]="Ranged",AGI, 0) + IF(Table1218[[#This Row],[Type]]="Magic",INU,0) + FEAT_DMG</f>
        <v>: d+0</v>
      </c>
    </row>
    <row r="15" spans="1:29" x14ac:dyDescent="0.25">
      <c r="B15" s="2" t="s">
        <v>29</v>
      </c>
      <c r="C15" s="2"/>
      <c r="D15" s="4"/>
      <c r="E15" s="2"/>
      <c r="F15" s="2"/>
      <c r="G15" s="2"/>
      <c r="H15" s="4">
        <v>0</v>
      </c>
      <c r="I15" s="2">
        <v>0</v>
      </c>
      <c r="J15" s="2">
        <v>0</v>
      </c>
      <c r="K15" s="2">
        <v>0</v>
      </c>
      <c r="L15" s="2">
        <v>0</v>
      </c>
      <c r="M15" s="2">
        <v>0</v>
      </c>
      <c r="N15" s="2">
        <v>0</v>
      </c>
      <c r="O15" s="2">
        <v>0</v>
      </c>
      <c r="P15" s="2">
        <v>0</v>
      </c>
      <c r="Q15" s="2">
        <v>0</v>
      </c>
      <c r="R15" s="2">
        <v>0</v>
      </c>
      <c r="S15" s="2">
        <v>0</v>
      </c>
      <c r="T15" s="2">
        <v>0</v>
      </c>
      <c r="U15" s="26">
        <v>0</v>
      </c>
      <c r="V15" s="2">
        <v>0</v>
      </c>
      <c r="W15" s="2">
        <v>0</v>
      </c>
      <c r="X15" s="2">
        <v>0</v>
      </c>
      <c r="Y15" s="2">
        <v>0</v>
      </c>
      <c r="Z15" s="79" t="str">
        <f>Table1218[[#This Row],[Name]] &amp; ": " &amp; Table1218[[#This Row],['#]] &amp; "d" &amp; Table1218[[#This Row],[Dice]] &amp; "+" &amp; Table1218[[#This Row],[Constant]] + IF(Table1218[[#This Row],[Type]]="Melee",STR, 0) + IF(Table1218[[#This Row],[Type]]="Ranged",AGI, 0) + IF(Table1218[[#This Row],[Type]]="Magic",INU,0) + FEAT_DMG</f>
        <v>: d+0</v>
      </c>
    </row>
    <row r="16" spans="1:29" x14ac:dyDescent="0.25">
      <c r="B16" s="2" t="s">
        <v>29</v>
      </c>
      <c r="C16" s="2"/>
      <c r="D16" s="4"/>
      <c r="E16" s="2"/>
      <c r="F16" s="2"/>
      <c r="G16" s="2"/>
      <c r="H16" s="4">
        <v>0</v>
      </c>
      <c r="I16" s="2">
        <v>0</v>
      </c>
      <c r="J16" s="2">
        <v>0</v>
      </c>
      <c r="K16" s="2">
        <v>0</v>
      </c>
      <c r="L16" s="2">
        <v>0</v>
      </c>
      <c r="M16" s="2">
        <v>0</v>
      </c>
      <c r="N16" s="2">
        <v>0</v>
      </c>
      <c r="O16" s="2">
        <v>0</v>
      </c>
      <c r="P16" s="2">
        <v>0</v>
      </c>
      <c r="Q16" s="2">
        <v>0</v>
      </c>
      <c r="R16" s="2">
        <v>0</v>
      </c>
      <c r="S16" s="2">
        <v>0</v>
      </c>
      <c r="T16" s="2">
        <v>0</v>
      </c>
      <c r="U16" s="26">
        <v>0</v>
      </c>
      <c r="V16" s="2">
        <v>0</v>
      </c>
      <c r="W16" s="2">
        <v>0</v>
      </c>
      <c r="X16" s="2">
        <v>0</v>
      </c>
      <c r="Y16" s="2">
        <v>0</v>
      </c>
      <c r="Z16" s="79" t="str">
        <f>Table1218[[#This Row],[Name]] &amp; ": " &amp; Table1218[[#This Row],['#]] &amp; "d" &amp; Table1218[[#This Row],[Dice]] &amp; "+" &amp; Table1218[[#This Row],[Constant]] + IF(Table1218[[#This Row],[Type]]="Melee",STR, 0) + IF(Table1218[[#This Row],[Type]]="Ranged",AGI, 0) + IF(Table1218[[#This Row],[Type]]="Magic",INU,0) + FEAT_DMG</f>
        <v>: d+0</v>
      </c>
    </row>
    <row r="17" spans="2:26" x14ac:dyDescent="0.25">
      <c r="B17" s="2" t="s">
        <v>29</v>
      </c>
      <c r="C17" s="2"/>
      <c r="D17" s="4"/>
      <c r="E17" s="2"/>
      <c r="F17" s="2"/>
      <c r="G17" s="2"/>
      <c r="H17" s="4">
        <v>0</v>
      </c>
      <c r="I17" s="2">
        <v>0</v>
      </c>
      <c r="J17" s="2">
        <v>0</v>
      </c>
      <c r="K17" s="2">
        <v>0</v>
      </c>
      <c r="L17" s="2">
        <v>0</v>
      </c>
      <c r="M17" s="2">
        <v>0</v>
      </c>
      <c r="N17" s="2">
        <v>0</v>
      </c>
      <c r="O17" s="2">
        <v>0</v>
      </c>
      <c r="P17" s="2">
        <v>0</v>
      </c>
      <c r="Q17" s="2">
        <v>0</v>
      </c>
      <c r="R17" s="2">
        <v>0</v>
      </c>
      <c r="S17" s="2">
        <v>0</v>
      </c>
      <c r="T17" s="2">
        <v>0</v>
      </c>
      <c r="U17" s="26">
        <v>0</v>
      </c>
      <c r="V17" s="2">
        <v>0</v>
      </c>
      <c r="W17" s="2">
        <v>0</v>
      </c>
      <c r="X17" s="2">
        <v>0</v>
      </c>
      <c r="Y17" s="2">
        <v>0</v>
      </c>
      <c r="Z17" s="79" t="str">
        <f>Table1218[[#This Row],[Name]] &amp; ": " &amp; Table1218[[#This Row],['#]] &amp; "d" &amp; Table1218[[#This Row],[Dice]] &amp; "+" &amp; Table1218[[#This Row],[Constant]] + IF(Table1218[[#This Row],[Type]]="Melee",STR, 0) + IF(Table1218[[#This Row],[Type]]="Ranged",AGI, 0) + IF(Table1218[[#This Row],[Type]]="Magic",INU,0) + FEAT_DMG</f>
        <v>: d+0</v>
      </c>
    </row>
    <row r="18" spans="2:26" x14ac:dyDescent="0.25">
      <c r="B18" s="2" t="s">
        <v>29</v>
      </c>
      <c r="C18" s="2"/>
      <c r="D18" s="4"/>
      <c r="E18" s="2"/>
      <c r="F18" s="2"/>
      <c r="G18" s="2"/>
      <c r="H18" s="4">
        <v>0</v>
      </c>
      <c r="I18" s="2">
        <v>0</v>
      </c>
      <c r="J18" s="2">
        <v>0</v>
      </c>
      <c r="K18" s="2">
        <v>0</v>
      </c>
      <c r="L18" s="2">
        <v>0</v>
      </c>
      <c r="M18" s="2">
        <v>0</v>
      </c>
      <c r="N18" s="2">
        <v>0</v>
      </c>
      <c r="O18" s="2">
        <v>0</v>
      </c>
      <c r="P18" s="2">
        <v>0</v>
      </c>
      <c r="Q18" s="2">
        <v>0</v>
      </c>
      <c r="R18" s="2">
        <v>0</v>
      </c>
      <c r="S18" s="2">
        <v>0</v>
      </c>
      <c r="T18" s="2">
        <v>0</v>
      </c>
      <c r="U18" s="26">
        <v>0</v>
      </c>
      <c r="V18" s="2">
        <v>0</v>
      </c>
      <c r="W18" s="2">
        <v>0</v>
      </c>
      <c r="X18" s="2">
        <v>0</v>
      </c>
      <c r="Y18" s="2">
        <v>0</v>
      </c>
      <c r="Z18" s="79" t="str">
        <f>Table1218[[#This Row],[Name]] &amp; ": " &amp; Table1218[[#This Row],['#]] &amp; "d" &amp; Table1218[[#This Row],[Dice]] &amp; "+" &amp; Table1218[[#This Row],[Constant]] + IF(Table1218[[#This Row],[Type]]="Melee",STR, 0) + IF(Table1218[[#This Row],[Type]]="Ranged",AGI, 0) + IF(Table1218[[#This Row],[Type]]="Magic",INU,0) + FEAT_DMG</f>
        <v>: d+0</v>
      </c>
    </row>
    <row r="19" spans="2:26" x14ac:dyDescent="0.25">
      <c r="B19" s="2" t="s">
        <v>29</v>
      </c>
      <c r="C19" s="2"/>
      <c r="D19" s="4"/>
      <c r="E19" s="2"/>
      <c r="F19" s="2"/>
      <c r="G19" s="2"/>
      <c r="H19" s="4">
        <v>0</v>
      </c>
      <c r="I19" s="2">
        <v>0</v>
      </c>
      <c r="J19" s="2">
        <v>0</v>
      </c>
      <c r="K19" s="2">
        <v>0</v>
      </c>
      <c r="L19" s="2">
        <v>0</v>
      </c>
      <c r="M19" s="2">
        <v>0</v>
      </c>
      <c r="N19" s="2">
        <v>0</v>
      </c>
      <c r="O19" s="2">
        <v>0</v>
      </c>
      <c r="P19" s="2">
        <v>0</v>
      </c>
      <c r="Q19" s="2">
        <v>0</v>
      </c>
      <c r="R19" s="2">
        <v>0</v>
      </c>
      <c r="S19" s="2">
        <v>0</v>
      </c>
      <c r="T19" s="2">
        <v>0</v>
      </c>
      <c r="U19" s="26">
        <v>0</v>
      </c>
      <c r="V19" s="2">
        <v>0</v>
      </c>
      <c r="W19" s="2">
        <v>0</v>
      </c>
      <c r="X19" s="2">
        <v>0</v>
      </c>
      <c r="Y19" s="2">
        <v>0</v>
      </c>
      <c r="Z19" s="79" t="str">
        <f>Table1218[[#This Row],[Name]] &amp; ": " &amp; Table1218[[#This Row],['#]] &amp; "d" &amp; Table1218[[#This Row],[Dice]] &amp; "+" &amp; Table1218[[#This Row],[Constant]] + IF(Table1218[[#This Row],[Type]]="Melee",STR, 0) + IF(Table1218[[#This Row],[Type]]="Ranged",AGI, 0) + IF(Table1218[[#This Row],[Type]]="Magic",INU,0) + FEAT_DMG</f>
        <v>: d+0</v>
      </c>
    </row>
    <row r="20" spans="2:26" x14ac:dyDescent="0.25">
      <c r="B20" s="2" t="s">
        <v>29</v>
      </c>
      <c r="C20" s="2"/>
      <c r="D20" s="4"/>
      <c r="E20" s="2"/>
      <c r="F20" s="2"/>
      <c r="G20" s="2"/>
      <c r="H20" s="4">
        <v>0</v>
      </c>
      <c r="I20" s="2">
        <v>0</v>
      </c>
      <c r="J20" s="2">
        <v>0</v>
      </c>
      <c r="K20" s="2">
        <v>0</v>
      </c>
      <c r="L20" s="2">
        <v>0</v>
      </c>
      <c r="M20" s="2">
        <v>0</v>
      </c>
      <c r="N20" s="2">
        <v>0</v>
      </c>
      <c r="O20" s="2">
        <v>0</v>
      </c>
      <c r="P20" s="2">
        <v>0</v>
      </c>
      <c r="Q20" s="2">
        <v>0</v>
      </c>
      <c r="R20" s="2">
        <v>0</v>
      </c>
      <c r="S20" s="2">
        <v>0</v>
      </c>
      <c r="T20" s="2">
        <v>0</v>
      </c>
      <c r="U20" s="26">
        <v>0</v>
      </c>
      <c r="V20" s="2">
        <v>0</v>
      </c>
      <c r="W20" s="2">
        <v>0</v>
      </c>
      <c r="X20" s="2">
        <v>0</v>
      </c>
      <c r="Y20" s="2">
        <v>0</v>
      </c>
      <c r="Z20" s="79" t="str">
        <f>Table1218[[#This Row],[Name]] &amp; ": " &amp; Table1218[[#This Row],['#]] &amp; "d" &amp; Table1218[[#This Row],[Dice]] &amp; "+" &amp; Table1218[[#This Row],[Constant]] + IF(Table1218[[#This Row],[Type]]="Melee",STR, 0) + IF(Table1218[[#This Row],[Type]]="Ranged",AGI, 0) + IF(Table1218[[#This Row],[Type]]="Magic",INU,0) + FEAT_DMG</f>
        <v>: d+0</v>
      </c>
    </row>
    <row r="21" spans="2:26" x14ac:dyDescent="0.25">
      <c r="B21" s="2" t="s">
        <v>29</v>
      </c>
      <c r="C21" s="2"/>
      <c r="D21" s="4"/>
      <c r="E21" s="2"/>
      <c r="F21" s="2"/>
      <c r="G21" s="2"/>
      <c r="H21" s="4">
        <v>0</v>
      </c>
      <c r="I21" s="2">
        <v>0</v>
      </c>
      <c r="J21" s="2">
        <v>0</v>
      </c>
      <c r="K21" s="2">
        <v>0</v>
      </c>
      <c r="L21" s="2">
        <v>0</v>
      </c>
      <c r="M21" s="2">
        <v>0</v>
      </c>
      <c r="N21" s="2">
        <v>0</v>
      </c>
      <c r="O21" s="2">
        <v>0</v>
      </c>
      <c r="P21" s="2">
        <v>0</v>
      </c>
      <c r="Q21" s="2">
        <v>0</v>
      </c>
      <c r="R21" s="2">
        <v>0</v>
      </c>
      <c r="S21" s="2">
        <v>0</v>
      </c>
      <c r="T21" s="2">
        <v>0</v>
      </c>
      <c r="U21" s="26">
        <v>0</v>
      </c>
      <c r="V21" s="2">
        <v>0</v>
      </c>
      <c r="W21" s="2">
        <v>0</v>
      </c>
      <c r="X21" s="2">
        <v>0</v>
      </c>
      <c r="Y21" s="2">
        <v>0</v>
      </c>
      <c r="Z21" s="79" t="str">
        <f>Table1218[[#This Row],[Name]] &amp; ": " &amp; Table1218[[#This Row],['#]] &amp; "d" &amp; Table1218[[#This Row],[Dice]] &amp; "+" &amp; Table1218[[#This Row],[Constant]] + IF(Table1218[[#This Row],[Type]]="Melee",STR, 0) + IF(Table1218[[#This Row],[Type]]="Ranged",AGI, 0) + IF(Table1218[[#This Row],[Type]]="Magic",INU,0) + FEAT_DMG</f>
        <v>: d+0</v>
      </c>
    </row>
    <row r="22" spans="2:26" x14ac:dyDescent="0.25">
      <c r="B22" s="2"/>
      <c r="C22" s="2"/>
      <c r="D22" s="4"/>
      <c r="E22" s="2"/>
      <c r="F22" s="2"/>
      <c r="G22" s="2"/>
      <c r="H22" s="4">
        <f>SUMIF(Table1218[Enabled],"Yes",Table1218[DMG])</f>
        <v>0</v>
      </c>
      <c r="I22" s="2">
        <f>SUMIF(Table1218[Enabled],"Yes",Table1218[Stamina])</f>
        <v>0</v>
      </c>
      <c r="J22" s="2">
        <f>SUMIF(Table1218[Enabled],"Yes",Table1218[Stamina])</f>
        <v>0</v>
      </c>
      <c r="K22" s="2">
        <f>SUMIF(Table1218[Enabled],"Yes",Table1218[Crit DMG])</f>
        <v>0</v>
      </c>
      <c r="L22" s="2">
        <f>SUMIF(Table1218[Enabled],"Yes",Table1218[Splash])</f>
        <v>0</v>
      </c>
      <c r="M22" s="2">
        <f>SUMIF(Table1218[Enabled],"Yes",Table1218[Splash 
DMG])</f>
        <v>0</v>
      </c>
      <c r="N22" s="2">
        <f>SUMIF(Table1218[Enabled],"Yes",Table1218[Exprt.])</f>
        <v>0</v>
      </c>
      <c r="O22" s="2">
        <f>SUMIF(Table1218[Enabled],"Yes",Table1218[Mvmt.])</f>
        <v>0</v>
      </c>
      <c r="P22" s="2">
        <f>SUMIF(Table1218[Enabled],"Yes",Table1218[Extra 
Attack])</f>
        <v>0</v>
      </c>
      <c r="Q22" s="2">
        <f>SUMIF(Table1218[Enabled],"Yes",Table1218[Armor])</f>
        <v>0</v>
      </c>
      <c r="R22" s="2">
        <f>SUMIF(Table1218[Enabled],"Yes",Table1218[Aura])</f>
        <v>0</v>
      </c>
      <c r="S22" s="2">
        <f>SUMIF(Table1218[Enabled],"Yes",Table1218[Directed Strike])</f>
        <v>0</v>
      </c>
      <c r="T22" s="2">
        <f>SUMIF(Table1218[Enabled],"Yes",Table1218[INI2])</f>
        <v>0</v>
      </c>
      <c r="U22" s="26">
        <f>SUMIF(Table1218[Enabled],"Yes",Table1218[STR])</f>
        <v>0</v>
      </c>
      <c r="V22" s="2">
        <f>SUMIF(Table1218[Enabled],"Yes",Table1218[AGI])</f>
        <v>0</v>
      </c>
      <c r="W22" s="2">
        <f>SUMIF(Table1218[Enabled],"Yes",Table1218[INU])</f>
        <v>0</v>
      </c>
      <c r="X22" s="2">
        <f>SUMIF(Table1218[Enabled],"Yes",Table1218[CHA])</f>
        <v>0</v>
      </c>
      <c r="Y22" s="2">
        <f>SUMIF(Table1218[Enabled],"Yes",Table1218[PER])</f>
        <v>0</v>
      </c>
      <c r="Z22" s="2"/>
    </row>
    <row r="24" spans="2:26" x14ac:dyDescent="0.25">
      <c r="C24" s="2"/>
      <c r="D24" s="2"/>
      <c r="E24" s="2"/>
      <c r="F24" s="2"/>
    </row>
    <row r="25" spans="2:26" x14ac:dyDescent="0.25">
      <c r="C25" s="2"/>
      <c r="D25" s="2"/>
      <c r="E25" s="2"/>
      <c r="F25" s="2"/>
    </row>
    <row r="26" spans="2:26" x14ac:dyDescent="0.25">
      <c r="C26" s="2"/>
      <c r="D26" s="2"/>
      <c r="E26" s="2"/>
      <c r="F26" s="2"/>
    </row>
    <row r="27" spans="2:26" x14ac:dyDescent="0.25">
      <c r="C27" s="2"/>
      <c r="D27" s="2"/>
      <c r="E27" s="2"/>
      <c r="F27" s="2"/>
    </row>
  </sheetData>
  <mergeCells count="3">
    <mergeCell ref="C1:E1"/>
    <mergeCell ref="F1:R1"/>
    <mergeCell ref="S1:W1"/>
  </mergeCells>
  <dataValidations count="1">
    <dataValidation type="list" allowBlank="1" showInputMessage="1" showErrorMessage="1" sqref="B3:B21" xr:uid="{E7B93F42-8CC7-7242-900D-A3B120697D51}">
      <formula1>Yes_No</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3">
        <x14:dataValidation type="list" allowBlank="1" showInputMessage="1" showErrorMessage="1" xr:uid="{E30884F0-2457-A74E-8EEA-F9B5B7C41B9A}">
          <x14:formula1>
            <xm:f>'Drop Downs'!$C$2:$C$4</xm:f>
          </x14:formula1>
          <xm:sqref>C3:C21</xm:sqref>
        </x14:dataValidation>
        <x14:dataValidation type="list" allowBlank="1" showInputMessage="1" showErrorMessage="1" xr:uid="{FD53FCE3-A6D0-6244-968A-D829A51CF0C0}">
          <x14:formula1>
            <xm:f>'Lookup Data'!$I$2:$I$10</xm:f>
          </x14:formula1>
          <xm:sqref>B25</xm:sqref>
        </x14:dataValidation>
        <x14:dataValidation type="list" allowBlank="1" showInputMessage="1" showErrorMessage="1" xr:uid="{CF1B8D70-C0F3-454A-BDD0-9B35D923BDE6}">
          <x14:formula1>
            <xm:f>'Lookup Data'!$O$2:$O$10</xm:f>
          </x14:formula1>
          <xm:sqref>B26</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DB37AD-94EE-E94F-9E74-B69BC6F6A7CE}">
  <dimension ref="A1:G4"/>
  <sheetViews>
    <sheetView workbookViewId="0">
      <selection activeCell="G49" sqref="G49"/>
    </sheetView>
  </sheetViews>
  <sheetFormatPr baseColWidth="10" defaultRowHeight="16" x14ac:dyDescent="0.2"/>
  <cols>
    <col min="1" max="1" width="26.5" customWidth="1"/>
    <col min="2" max="2" width="18.5" customWidth="1"/>
    <col min="3" max="3" width="10.6640625" customWidth="1"/>
    <col min="5" max="5" width="10.83203125" customWidth="1"/>
    <col min="6" max="6" width="7.6640625" customWidth="1"/>
    <col min="7" max="7" width="164" customWidth="1"/>
  </cols>
  <sheetData>
    <row r="1" spans="1:7" x14ac:dyDescent="0.2">
      <c r="A1" t="s">
        <v>22</v>
      </c>
      <c r="B1" t="s">
        <v>164</v>
      </c>
      <c r="C1" t="s">
        <v>102</v>
      </c>
      <c r="D1" t="s">
        <v>58</v>
      </c>
      <c r="E1" t="s">
        <v>153</v>
      </c>
      <c r="F1" t="s">
        <v>52</v>
      </c>
      <c r="G1" t="s">
        <v>137</v>
      </c>
    </row>
    <row r="2" spans="1:7" ht="34" x14ac:dyDescent="0.2">
      <c r="A2" s="120" t="s">
        <v>229</v>
      </c>
      <c r="B2" s="120" t="s">
        <v>230</v>
      </c>
      <c r="C2" s="121">
        <v>1</v>
      </c>
      <c r="D2" s="121">
        <v>1</v>
      </c>
      <c r="E2" s="121" t="s">
        <v>29</v>
      </c>
      <c r="F2" s="121">
        <v>2</v>
      </c>
      <c r="G2" s="119" t="s">
        <v>233</v>
      </c>
    </row>
    <row r="3" spans="1:7" ht="17" x14ac:dyDescent="0.2">
      <c r="A3" s="120" t="s">
        <v>231</v>
      </c>
      <c r="B3" s="120" t="s">
        <v>230</v>
      </c>
      <c r="C3" s="121">
        <v>1</v>
      </c>
      <c r="D3" s="121">
        <v>1</v>
      </c>
      <c r="E3" s="121" t="s">
        <v>29</v>
      </c>
      <c r="F3" s="121">
        <v>2</v>
      </c>
      <c r="G3" s="119" t="s">
        <v>232</v>
      </c>
    </row>
    <row r="4" spans="1:7" x14ac:dyDescent="0.2">
      <c r="A4" t="s">
        <v>49</v>
      </c>
      <c r="F4" s="8">
        <f>SUMIF(Table18[Enabled],"=Yes",Table18[XP])</f>
        <v>0</v>
      </c>
      <c r="G4">
        <f>SUBTOTAL(103,Table18[Description])</f>
        <v>2</v>
      </c>
    </row>
  </sheetData>
  <dataValidations count="1">
    <dataValidation type="list" allowBlank="1" showInputMessage="1" showErrorMessage="1" sqref="E2:E4" xr:uid="{52772F77-4A68-664D-9F55-A66C2BB8070D}">
      <formula1>Yes_No</formula1>
    </dataValidation>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13</vt:i4>
      </vt:variant>
      <vt:variant>
        <vt:lpstr>Named Ranges</vt:lpstr>
      </vt:variant>
      <vt:variant>
        <vt:i4>150</vt:i4>
      </vt:variant>
    </vt:vector>
  </HeadingPairs>
  <TitlesOfParts>
    <vt:vector size="163" baseType="lpstr">
      <vt:lpstr>Character Sheet</vt:lpstr>
      <vt:lpstr>Character Info</vt:lpstr>
      <vt:lpstr>Statistics</vt:lpstr>
      <vt:lpstr>Skills</vt:lpstr>
      <vt:lpstr>Resistances</vt:lpstr>
      <vt:lpstr>Feats</vt:lpstr>
      <vt:lpstr>Armor</vt:lpstr>
      <vt:lpstr>Weapons</vt:lpstr>
      <vt:lpstr>Spells</vt:lpstr>
      <vt:lpstr>Races</vt:lpstr>
      <vt:lpstr>Classes</vt:lpstr>
      <vt:lpstr>Lookup Data</vt:lpstr>
      <vt:lpstr>Drop Downs</vt:lpstr>
      <vt:lpstr>AGI</vt:lpstr>
      <vt:lpstr>AGI_TOTAL</vt:lpstr>
      <vt:lpstr>Weapons!Armor</vt:lpstr>
      <vt:lpstr>Armor</vt:lpstr>
      <vt:lpstr>ARMOR_AGI</vt:lpstr>
      <vt:lpstr>Weapons!ARMOR_ARMOR</vt:lpstr>
      <vt:lpstr>ARMOR_ARMOR</vt:lpstr>
      <vt:lpstr>ARMOR_CHA</vt:lpstr>
      <vt:lpstr>Weapons!ARMOR_DODGE</vt:lpstr>
      <vt:lpstr>ARMOR_DODGE</vt:lpstr>
      <vt:lpstr>Weapons!ARMOR_INI</vt:lpstr>
      <vt:lpstr>ARMOR_INI</vt:lpstr>
      <vt:lpstr>ARMOR_INU</vt:lpstr>
      <vt:lpstr>Weapons!ARMOR_MOVEMENT</vt:lpstr>
      <vt:lpstr>ARMOR_MOVEMENT</vt:lpstr>
      <vt:lpstr>ARMOR_PER</vt:lpstr>
      <vt:lpstr>ARMOR_STR</vt:lpstr>
      <vt:lpstr>Weapons!ARMOR_TYPE</vt:lpstr>
      <vt:lpstr>ARMOR_TYPE</vt:lpstr>
      <vt:lpstr>CHA</vt:lpstr>
      <vt:lpstr>CHA_TOTAL</vt:lpstr>
      <vt:lpstr>CHARACTER_AP</vt:lpstr>
      <vt:lpstr>CHARACTER_ARMOR</vt:lpstr>
      <vt:lpstr>CHARACTER_AURA</vt:lpstr>
      <vt:lpstr>CHARACTER_EXPERTISE</vt:lpstr>
      <vt:lpstr>CHARACTER_HP</vt:lpstr>
      <vt:lpstr>CHARACTER_INI</vt:lpstr>
      <vt:lpstr>CHARACTER_LEVEL</vt:lpstr>
      <vt:lpstr>CHARACTER_MOVEMENT</vt:lpstr>
      <vt:lpstr>CHARACTER_NAME</vt:lpstr>
      <vt:lpstr>CHARACTER_PROFESSION</vt:lpstr>
      <vt:lpstr>CHARACTER_RACE</vt:lpstr>
      <vt:lpstr>'Character Sheet'!Criteria</vt:lpstr>
      <vt:lpstr>Feats!Criteria</vt:lpstr>
      <vt:lpstr>Resistances!Criteria</vt:lpstr>
      <vt:lpstr>Skills!Criteria</vt:lpstr>
      <vt:lpstr>Resistances!EQ_ARMOR</vt:lpstr>
      <vt:lpstr>Weapons!EQ_ARMOR</vt:lpstr>
      <vt:lpstr>EQ_ARMOR</vt:lpstr>
      <vt:lpstr>Resistances!EQ_AURA</vt:lpstr>
      <vt:lpstr>Weapons!EQ_AURA</vt:lpstr>
      <vt:lpstr>EQ_AURA</vt:lpstr>
      <vt:lpstr>Resistances!EQ_CRIT</vt:lpstr>
      <vt:lpstr>Weapons!EQ_CRIT</vt:lpstr>
      <vt:lpstr>EQ_CRIT</vt:lpstr>
      <vt:lpstr>Resistances!EQ_CRITDMG</vt:lpstr>
      <vt:lpstr>Weapons!EQ_CRITDMG</vt:lpstr>
      <vt:lpstr>EQ_CRITDMG</vt:lpstr>
      <vt:lpstr>Resistances!EQ_DIRECTEDSTRIKE</vt:lpstr>
      <vt:lpstr>Weapons!EQ_DIRECTEDSTRIKE</vt:lpstr>
      <vt:lpstr>EQ_DIRECTEDSTRIKE</vt:lpstr>
      <vt:lpstr>Resistances!EQ_DMG</vt:lpstr>
      <vt:lpstr>Weapons!EQ_DMG</vt:lpstr>
      <vt:lpstr>EQ_DMG</vt:lpstr>
      <vt:lpstr>Resistances!EQ_EXPERTISE</vt:lpstr>
      <vt:lpstr>Weapons!EQ_EXPERTISE</vt:lpstr>
      <vt:lpstr>EQ_EXPERTISE</vt:lpstr>
      <vt:lpstr>Resistances!EQ_EXTRAATTACK</vt:lpstr>
      <vt:lpstr>Weapons!EQ_EXTRAATTACK</vt:lpstr>
      <vt:lpstr>EQ_EXTRAATTACK</vt:lpstr>
      <vt:lpstr>Resistances!EQ_MOVEMENT</vt:lpstr>
      <vt:lpstr>Weapons!EQ_MOVEMENT</vt:lpstr>
      <vt:lpstr>EQ_MOVEMENT</vt:lpstr>
      <vt:lpstr>Resistances!EQ_SPASHDMG</vt:lpstr>
      <vt:lpstr>Weapons!EQ_SPASHDMG</vt:lpstr>
      <vt:lpstr>EQ_SPASHDMG</vt:lpstr>
      <vt:lpstr>Resistances!EQ_SPLASH</vt:lpstr>
      <vt:lpstr>Weapons!EQ_SPLASH</vt:lpstr>
      <vt:lpstr>EQ_SPLASH</vt:lpstr>
      <vt:lpstr>Resistances!EQ_SPLASHDMG</vt:lpstr>
      <vt:lpstr>Weapons!EQ_SPLASHDMG</vt:lpstr>
      <vt:lpstr>EQ_SPLASHDMG</vt:lpstr>
      <vt:lpstr>Resistances!EQ_STAMINA</vt:lpstr>
      <vt:lpstr>Weapons!EQ_STAMINA</vt:lpstr>
      <vt:lpstr>EQ_STAMINA</vt:lpstr>
      <vt:lpstr>EXPERTISE</vt:lpstr>
      <vt:lpstr>'Character Sheet'!Extract</vt:lpstr>
      <vt:lpstr>Feats!Extract</vt:lpstr>
      <vt:lpstr>Resistances!Extract</vt:lpstr>
      <vt:lpstr>Skills!Extract</vt:lpstr>
      <vt:lpstr>FEAT_AP</vt:lpstr>
      <vt:lpstr>FEAT_ARMOR</vt:lpstr>
      <vt:lpstr>FEAT_AURA</vt:lpstr>
      <vt:lpstr>FEAT_DIRECTEDSTRIKE</vt:lpstr>
      <vt:lpstr>FEAT_DMG</vt:lpstr>
      <vt:lpstr>FEAT_EXPT</vt:lpstr>
      <vt:lpstr>FEAT_INI</vt:lpstr>
      <vt:lpstr>FEAT_MOVEMENT</vt:lpstr>
      <vt:lpstr>FEAT_SPLASH</vt:lpstr>
      <vt:lpstr>FEAT_SPLASHDMG</vt:lpstr>
      <vt:lpstr>FEAT_STAMINA</vt:lpstr>
      <vt:lpstr>FEATS</vt:lpstr>
      <vt:lpstr>HP</vt:lpstr>
      <vt:lpstr>INU</vt:lpstr>
      <vt:lpstr>INU_TOTAL</vt:lpstr>
      <vt:lpstr>LVL</vt:lpstr>
      <vt:lpstr>MOVEMENT</vt:lpstr>
      <vt:lpstr>PER</vt:lpstr>
      <vt:lpstr>PER_TOTAL</vt:lpstr>
      <vt:lpstr>PROF</vt:lpstr>
      <vt:lpstr>PROFESSION</vt:lpstr>
      <vt:lpstr>Resistances!PROFESSIONS</vt:lpstr>
      <vt:lpstr>Weapons!PROFESSIONS</vt:lpstr>
      <vt:lpstr>PROFESSIONS</vt:lpstr>
      <vt:lpstr>RACE</vt:lpstr>
      <vt:lpstr>Resistances!RACES</vt:lpstr>
      <vt:lpstr>Weapons!RACES</vt:lpstr>
      <vt:lpstr>RACES</vt:lpstr>
      <vt:lpstr>Resistances!RANK_LOOKUP</vt:lpstr>
      <vt:lpstr>Weapons!RANK_LOOKUP</vt:lpstr>
      <vt:lpstr>RANK_LOOKUP</vt:lpstr>
      <vt:lpstr>RESISTANCES</vt:lpstr>
      <vt:lpstr>Weapons!SHIELD_TYPE</vt:lpstr>
      <vt:lpstr>SHIELD_TYPE</vt:lpstr>
      <vt:lpstr>Resistances!SPASH</vt:lpstr>
      <vt:lpstr>Weapons!SPASH</vt:lpstr>
      <vt:lpstr>SPASH</vt:lpstr>
      <vt:lpstr>SPELL_XP</vt:lpstr>
      <vt:lpstr>SPELLS</vt:lpstr>
      <vt:lpstr>STAMINA</vt:lpstr>
      <vt:lpstr>StatisticCodes</vt:lpstr>
      <vt:lpstr>Statistics</vt:lpstr>
      <vt:lpstr>STR</vt:lpstr>
      <vt:lpstr>STR_TOTAL</vt:lpstr>
      <vt:lpstr>TOTAL_XP</vt:lpstr>
      <vt:lpstr>Resistances!TOTAL_XP_EARNED</vt:lpstr>
      <vt:lpstr>Weapons!TOTAL_XP_EARNED</vt:lpstr>
      <vt:lpstr>TOTAL_XP_EARNED</vt:lpstr>
      <vt:lpstr>WEAPON_AGI</vt:lpstr>
      <vt:lpstr>WEAPON_ARMOR</vt:lpstr>
      <vt:lpstr>WEAPON_AURA</vt:lpstr>
      <vt:lpstr>WEAPON_CHA</vt:lpstr>
      <vt:lpstr>WEAPON_CRIT</vt:lpstr>
      <vt:lpstr>WEAPON_CRITDMG</vt:lpstr>
      <vt:lpstr>WEAPON_DIRECTEDSTRIKE</vt:lpstr>
      <vt:lpstr>WEAPON_DMG</vt:lpstr>
      <vt:lpstr>WEAPON_EXPERTISE</vt:lpstr>
      <vt:lpstr>WEAPON_EXTRAATTACK</vt:lpstr>
      <vt:lpstr>WEAPON_INI</vt:lpstr>
      <vt:lpstr>WEAPON_INU</vt:lpstr>
      <vt:lpstr>WEAPON_MOVEMENT</vt:lpstr>
      <vt:lpstr>WEAPON_PER</vt:lpstr>
      <vt:lpstr>WEAPON_SPLASH</vt:lpstr>
      <vt:lpstr>WEAPON_SPLASHDMG</vt:lpstr>
      <vt:lpstr>WEAPON_STAMINA</vt:lpstr>
      <vt:lpstr>WEAPON_STR</vt:lpstr>
      <vt:lpstr>XP</vt:lpstr>
      <vt:lpstr>Weapons!XP_LEVEL</vt:lpstr>
      <vt:lpstr>XP_LEVEL</vt:lpstr>
      <vt:lpstr>Yes_No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Carlos Kelkboom</dc:creator>
  <cp:lastModifiedBy>Carlos Kelkboom</cp:lastModifiedBy>
  <cp:lastPrinted>2018-12-27T07:32:28Z</cp:lastPrinted>
  <dcterms:created xsi:type="dcterms:W3CDTF">2018-12-15T09:53:02Z</dcterms:created>
  <dcterms:modified xsi:type="dcterms:W3CDTF">2018-12-30T09:32:57Z</dcterms:modified>
</cp:coreProperties>
</file>