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34A8FC5B-A088-D949-8528-7FC194A91073}"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39" i="1" l="1"/>
  <c r="AE38" i="1"/>
  <c r="AE37" i="1"/>
  <c r="AE36" i="1"/>
  <c r="AE35" i="1" l="1"/>
  <c r="Y39" i="1" l="1"/>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<sst xmlns="http://schemas.openxmlformats.org/spreadsheetml/2006/main" count="1027" uniqueCount="340">
  <si>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</si>
  <si>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</si>
  <si>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</si>
  <si>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</si>
  <si>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</si>
  <si>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</si>
  <si>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</si>
  <si>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</si>
  <si>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</si>
  <si>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</si>
  <si>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</si>
  <si>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</si>
  <si>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</si>
  <si>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</si>
  <si>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</si>
  <si>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</si>
  <si>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</si>
  <si>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</si>
  <si>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</si>
  <si>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</si>
  <si>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</si>
  <si>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</si>
  <si>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</si>
  <si>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</si>
  <si>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</si>
  <si>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</si>
  <si>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</si>
  <si>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</si>
  <si>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</si>
  <si>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</si>
  <si>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</si>
  <si>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</si>
  <si>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</si>
  <si>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</si>
  <si>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</si>
  <si>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</si>
  <si>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</si>
  <si>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</si>
  <si>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</si>
  <si>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</si>
  <si>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</si>
  <si>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</si>
  <si>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</si>
  <si>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</si>
  <si>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</si>
  <si>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</si>
  <si>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</si>
  <si>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</si>
  <si>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</si>
  <si>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</si>
  <si>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</si>
  <si>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</si>
  <si>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</si>
  <si>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</si>
  <si>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</si>
  <si>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</si>
  <si>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</si>
  <si>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</si>
  <si>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</si>
  <si>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</si>
  <si>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</si>
  <si>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</si>
  <si>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</si>
  <si>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</si>
  <si>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</si>
  <si>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</si>
  <si>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</si>
  <si>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</si>
  <si>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</si>
  <si>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</si>
  <si>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</si>
  <si>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</si>
  <si>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</si>
  <si>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</si>
  <si>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</si>
  <si>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</si>
  <si>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</si>
  <si>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</si>
  <si>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</si>
  <si>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</si>
  <si>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</si>
  <si>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</si>
  <si>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</si>
  <si>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</si>
  <si>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</si>
  <si>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</si>
  <si>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</si>
  <si>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</si>
  <si>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</si>
  <si>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</si>
  <si>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</si>
  <si>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</si>
  <si>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</si>
  <si>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</si>
  <si>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</si>
  <si>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</si>
  <si>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</si>
  <si>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</si>
  <si>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</si>
  <si>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</si>
  <si>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</si>
  <si>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</si>
  <si>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</si>
  <si>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</si>
  <si>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</si>
  <si>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</si>
  <si>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</si>
  <si>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</si>
  <si>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</si>
  <si>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</si>
  <si>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</si>
  <si>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</si>
  <si>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</si>
  <si>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</si>
  <si>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</si>
  <si>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</si>
  <si>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</si>
  <si>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</si>
  <si>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</si>
  <si>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</si>
  <si>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</si>
  <si>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</si>
  <si>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</si>
  <si>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</si>
  <si>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</si>
  <si>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</si>
  <si>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</si>
  <si>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</si>
  <si>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</si>
  <si>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</si>
  <si>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</si>
  <si>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</si>
  <si>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</si>
  <si>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</si>
  <si>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</si>
  <si>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</si>
  <si>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</si>
  <si>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</si>
  <si>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</si>
  <si>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</si>
  <si>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</si>
  <si>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</si>
  <si>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</si>
  <si>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</si>
  <si>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</si>
  <si>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</si>
  <si>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</si>
  <si>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</si>
  <si>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</si>
  <si>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</si>
  <si>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</si>
  <si>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</si>
  <si>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</si>
  <si>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</si>
  <si>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</si>
  <si>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</si>
  <si>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</si>
  <si>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</si>
  <si>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</si>
  <si>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</si>
  <si>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</si>
  <si>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</si>
  <si>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</si>
  <si>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</si>
  <si>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</si>
  <si>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</si>
  <si>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</si>
  <si>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</si>
  <si>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</si>
  <si>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</si>
  <si>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</si>
  <si>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</si>
  <si>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</si>
  <si>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</si>
  <si>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</si>
  <si>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</si>
  <si>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</si>
  <si>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</si>
  <si>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</si>
  <si>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</si>
  <si>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</si>
  <si>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</si>
  <si>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</si>
  <si>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</si>
  <si>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</si>
  <si>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</si>
  <si>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</si>
  <si>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</si>
  <si>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</si>
  <si>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</si>
  <si>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</si>
  <si>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</si>
  <si>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</si>
  <si>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</si>
  <si>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</si>
  <si>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</si>
  <si>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</si>
  <si>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</si>
  <si>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</si>
  <si>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</si>
  <si>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</si>
  <si>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</si>
  <si>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</si>
  <si>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</si>
  <si>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</si>
  <si>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</si>
  <si>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</si>
  <si>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</si>
  <si>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</si>
  <si>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</si>
  <si>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</si>
  <si>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</si>
  <si>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</si>
  <si>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</si>
  <si>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</si>
  <si>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</si>
  <si>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</si>
  <si>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</si>
  <si>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</si>
  <si>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</si>
  <si>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</si>
  <si>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</si>
  <si>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</si>
  <si>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</si>
  <si>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</si>
  <si>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</si>
  <si>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</si>
  <si>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</si>
  <si>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</si>
  <si>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</si>
  <si>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</si>
  <si>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</si>
  <si>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</si>
  <si>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</si>
  <si>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</si>
  <si>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</si>
  <si>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</si>
  <si>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</si>
  <si>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</si>
  <si>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</si>
  <si>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</si>
  <si>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</si>
  <si>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</si>
  <si>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</si>
  <si>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</si>
  <si>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</si>
  <si>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</si>
  <si>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</si>
  <si>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</si>
  <si>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</si>
  <si>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</si>
  <si>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</si>
  <si>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</si>
  <si>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</si>
  <si>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</si>
  <si>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</si>
  <si>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</si>
  <si>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</si>
  <si>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</si>
  <si>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</si>
  <si>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</si>
  <si>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</si>
  <si>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</si>
  <si>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</si>
  <si>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</si>
  <si>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</si>
  <si>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</si>
  <si>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</si>
  <si>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</si>
  <si>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</si>
  <si>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</si>
  <si>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</si>
  <si>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</si>
  <si>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Great Axe</t>
  </si>
  <si>
    <t>Dice - Constant - Statistic - Feat DMG</t>
  </si>
  <si>
    <t>Unknown</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</si>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</sst>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241"/>
    <tableColumn id="2" xr3:uid="{93A5AD0F-341D-E245-AF40-3EAD21FC48A0}" name="Statistic" totalsRowFunction="custom" dataDxfId="240" totalsRowDxfId="239">
      <totalsRowFormula>SUM(Table2[[#Totals],[Bought]:[Expert]])</totalsRowFormula>
    </tableColumn>
    <tableColumn id="3" xr3:uid="{FE35E503-2EA7-A343-99C7-C5C5899FC054}" name="Bought" totalsRowFunction="custom" dataDxfId="238" totalsRowDxfId="237">
      <totalsRowFormula>COUNTIF(Table2[Bought],"Yes") * 2</totalsRowFormula>
    </tableColumn>
    <tableColumn id="4" xr3:uid="{98DF01DF-054B-914B-974E-8AF998FF4E53}" name="Skilled" totalsRowFunction="custom" dataDxfId="236" totalsRowDxfId="235">
      <totalsRowFormula>COUNTIF(Table2[Skilled],"Yes") * 3</totalsRowFormula>
    </tableColumn>
    <tableColumn id="5" xr3:uid="{C62BCE48-B5FF-6A47-AA15-86C6BDEC45D6}" name="Professional" totalsRowFunction="custom" dataDxfId="234" totalsRowDxfId="233">
      <totalsRowFormula>COUNTIF(Table2[Professional],"Yes") * 4</totalsRowFormula>
    </tableColumn>
    <tableColumn id="6" xr3:uid="{D9F29455-4DAB-6A40-8A17-0CA575126A74}" name="Expert" totalsRowFunction="custom" dataDxfId="232" totalsRowDxfId="231">
      <totalsRowFormula>COUNTIF(Table2[Expert],"Yes") * 5</totalsRowFormula>
    </tableColumn>
    <tableColumn id="8" xr3:uid="{D32EF9E9-A539-8B41-871A-B89EA355F651}" name="DICE" dataDxfId="230" totalsRowDxfId="229">
      <calculatedColumnFormula>IF(C2="Yes","1d20","1d10")</calculatedColumnFormula>
    </tableColumn>
    <tableColumn id="9" xr3:uid="{C1A4C07D-E510-A944-A562-B1C910EB2898}" name="STAT" dataDxfId="228" totalsRowDxfId="227">
      <calculatedColumnFormula>IF(Table2[[#This Row],[Skilled]] = "YES",VLOOKUP(Table2[[#This Row],[Statistic]],Table1[[Code]:[STAT]],13,FALSE), 0)</calculatedColumnFormula>
    </tableColumn>
    <tableColumn id="10" xr3:uid="{0B24A7B2-5A09-214A-A140-1714C5D361A4}" name="LEVEL" dataDxfId="226" totalsRowDxfId="225">
      <calculatedColumnFormula>IF(Table2[[#This Row],[Professional]]="Yes",LVL,0)</calculatedColumnFormula>
    </tableColumn>
    <tableColumn id="11" xr3:uid="{356CD671-6933-4E45-8BBD-9402E92B4106}" name="EXP." dataDxfId="224" totalsRowDxfId="223"/>
    <tableColumn id="12" xr3:uid="{28D63D3F-7CDE-BD4A-8D01-F7FC776D2F9A}" name="TOTAL" dataDxfId="222" totalsRowDxfId="22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8" dataDxfId="217">
  <tableColumns count="11">
    <tableColumn id="1" xr3:uid="{87BB9924-DBC9-8B4C-98A3-1C64069A7F16}" name="Name" totalsRowLabel="Total" dataDxfId="216" totalsRowDxfId="215"/>
    <tableColumn id="2" xr3:uid="{C7B0EDCD-3736-3443-8494-C77B335F22CF}" name="Statistic" totalsRowFunction="custom" dataDxfId="214" totalsRowDxfId="213">
      <totalsRowFormula>SUM(Table217[[#Totals],[Bought]:[Expert]])</totalsRowFormula>
    </tableColumn>
    <tableColumn id="3" xr3:uid="{DB3431C6-D27C-1F4F-A527-26C5173FD0AF}" name="Bought" totalsRowFunction="custom" dataDxfId="212" totalsRowDxfId="211">
      <totalsRowFormula>COUNTIF(Table217[Bought],"Yes") * 2</totalsRowFormula>
    </tableColumn>
    <tableColumn id="4" xr3:uid="{16801E44-9587-1F43-A05D-A6A621B7D92E}" name="Skilled" totalsRowFunction="custom" dataDxfId="210" totalsRowDxfId="209">
      <totalsRowFormula>COUNTIF(Table217[Skilled],"Yes") * 3</totalsRowFormula>
    </tableColumn>
    <tableColumn id="5" xr3:uid="{831CD727-7203-A442-90B2-7454C8FF3483}" name="Professional" totalsRowFunction="custom" dataDxfId="208" totalsRowDxfId="207">
      <totalsRowFormula>COUNTIF(Table217[Professional],"Yes") * 4</totalsRowFormula>
    </tableColumn>
    <tableColumn id="6" xr3:uid="{29019F01-4B37-FD41-BF61-39E9F80E0220}" name="Expert" totalsRowFunction="custom" dataDxfId="206" totalsRowDxfId="205">
      <totalsRowFormula>COUNTIF(Table217[Skilled],"Yes") * 5</totalsRowFormula>
    </tableColumn>
    <tableColumn id="8" xr3:uid="{9DA99A80-D4A2-7245-9FF6-F208EE342709}" name="DICE" dataDxfId="204" totalsRowDxfId="203">
      <calculatedColumnFormula>IF(C2="Yes","1d20","1d10")</calculatedColumnFormula>
    </tableColumn>
    <tableColumn id="9" xr3:uid="{C3CB34DA-A904-9C4B-8C33-222761B6D7D2}" name="STAT" dataDxfId="202" totalsRowDxfId="201">
      <calculatedColumnFormula>IF(Table217[[#This Row],[Skilled]] = "YES",VLOOKUP(Table217[[#This Row],[Statistic]],Table1[[Code]:[STAT]],13,FALSE), 0)</calculatedColumnFormula>
    </tableColumn>
    <tableColumn id="10" xr3:uid="{AA0D7124-EB80-8D45-8B3A-B710D5C942D2}" name="LEVEL" dataDxfId="200" totalsRowDxfId="199">
      <calculatedColumnFormula>IF(Table217[[#This Row],[Professional]]="Yes",LVL,0)</calculatedColumnFormula>
    </tableColumn>
    <tableColumn id="11" xr3:uid="{6DA8214E-CFCE-1F48-9C1E-1466DBBCA419}" name="EXP." dataDxfId="198" totalsRowDxfId="197"/>
    <tableColumn id="12" xr3:uid="{44A80818-EE79-AD41-B43E-D9EA1EB5457F}" name="TOTAL" dataDxfId="196" totalsRowDxfId="19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194" dataDxfId="193">
  <tableColumns count="12">
    <tableColumn id="1" xr3:uid="{AAE218F1-975D-6E4D-A78F-7D9CFE3F2D85}" name="Name" dataDxfId="192" totalsRowDxfId="191"/>
    <tableColumn id="2" xr3:uid="{D6530EC6-244B-1342-B158-F1BF3AB28116}" name="Rank" dataDxfId="190" totalsRowDxfId="189"/>
    <tableColumn id="3" xr3:uid="{06E3316B-0582-394A-BC3E-83FCA17E3605}" name="Weapon" dataDxfId="188" totalsRowDxfId="187"/>
    <tableColumn id="12" xr3:uid="{DFE40438-CA22-3D44-8C0F-517F5D131F5B}" name="Equip." dataDxfId="186" totalsRowDxfId="185"/>
    <tableColumn id="4" xr3:uid="{D4781ED7-4593-8541-BEFE-6294607C35A6}" name="Special" dataDxfId="184" totalsRowDxfId="183"/>
    <tableColumn id="10" xr3:uid="{F3DF0F91-E598-724D-9337-DE5DFBDAB49E}" name="TotalRank" dataDxfId="182" totalsRowDxfId="181">
      <calculatedColumnFormula>SUM(Table9[[#This Row],[Rank]:[Special]])</calculatedColumnFormula>
    </tableColumn>
    <tableColumn id="5" xr3:uid="{0D510646-E339-4D49-AC64-0E9893C8F3DB}" name="Factor" dataDxfId="180" totalsRowDxfId="179"/>
    <tableColumn id="6" xr3:uid="{7B2CF3F3-396A-4840-8DAE-8804AB543E30}" name="Prefix" dataDxfId="178" totalsRowDxfId="177"/>
    <tableColumn id="7" xr3:uid="{83E2A74F-B858-6946-B767-CA721DD0DE12}" name="Postfix" dataDxfId="176" totalsRowDxfId="175"/>
    <tableColumn id="11" xr3:uid="{ADBF929F-A437-7A42-B5EE-CA1C4C9D4880}" name="CALC" dataDxfId="174" totalsRowDxfId="173"/>
    <tableColumn id="8" xr3:uid="{0BF9FD32-BE0B-AC4D-B2C3-0AE1CD340401}" name="Result" dataDxfId="172" totalsRowDxfId="171">
      <calculatedColumnFormula>Table9[[#This Row],[Prefix]] &amp; SUM(Table9[[#This Row],[Rank]:[Special]])*Table9[[#This Row],[Factor]] &amp; Table9[[#This Row],[Postfix]]</calculatedColumnFormula>
    </tableColumn>
    <tableColumn id="9" xr3:uid="{0D1C4892-DA2B-BC49-8BD4-B5FF578B67AD}" name="XP" totalsRowFunction="custom" dataDxfId="170" totalsRowDxfId="16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8" dataDxfId="167">
  <autoFilter ref="A2:V21" xr:uid="{B162921F-791F-624A-81ED-6E2D19AD3439}"/>
  <tableColumns count="22">
    <tableColumn id="1" xr3:uid="{D6AFC6F4-56C5-B94E-AAD7-C07A92ACC04B}" name="Location" totalsRowLabel="Total" dataDxfId="166" totalsRowDxfId="165"/>
    <tableColumn id="2" xr3:uid="{6EC0F666-8D61-D644-BCAC-A4117F1781F2}" name="Name" dataDxfId="164" totalsRowDxfId="163"/>
    <tableColumn id="3" xr3:uid="{FDC3F4BD-A2FD-6648-8EE1-D8B4F6108857}" name="Enabled" dataDxfId="162" totalsRowDxfId="161"/>
    <tableColumn id="4" xr3:uid="{6BD01D3C-E517-274F-87F1-974D9398BA72}" name="DMG" totalsRowFunction="custom" dataDxfId="160" totalsRowDxfId="159">
      <totalsRowFormula>SUMIF(Table12[Enabled],"Yes",Table12[DMG])</totalsRowFormula>
    </tableColumn>
    <tableColumn id="5" xr3:uid="{1E15D738-D79A-244C-851E-E57C038AF8E0}" name="Stamina" totalsRowFunction="custom" dataDxfId="158" totalsRowDxfId="157">
      <totalsRowFormula>SUMIF(Table12[Enabled],"Yes",Table12[Stamina])</totalsRowFormula>
    </tableColumn>
    <tableColumn id="6" xr3:uid="{4356B910-7F96-084F-A9BD-24B81A1D65C2}" name="Crit" totalsRowFunction="custom" dataDxfId="156" totalsRowDxfId="155">
      <totalsRowFormula>SUMIF(Table12[Enabled],"Yes",Table12[Stamina])</totalsRowFormula>
    </tableColumn>
    <tableColumn id="7" xr3:uid="{34D53967-FE59-F548-9D59-EBF5A5FF3B80}" name="Crit DMG" totalsRowFunction="custom" dataDxfId="154" totalsRowDxfId="153">
      <totalsRowFormula>SUMIF(Table12[Enabled],"Yes",Table12[Crit DMG])</totalsRowFormula>
    </tableColumn>
    <tableColumn id="8" xr3:uid="{D37EF853-D2F7-214A-83D0-086F59F00DC8}" name="Splash" totalsRowFunction="custom" dataDxfId="152" totalsRowDxfId="151">
      <totalsRowFormula>SUMIF(Table12[Enabled],"Yes",Table12[Splash])</totalsRowFormula>
    </tableColumn>
    <tableColumn id="9" xr3:uid="{5DE5E55B-8076-214A-88F0-165C9D5589AB}" name="Splash _x000a_DMG" totalsRowFunction="custom" dataDxfId="150" totalsRowDxfId="149">
      <totalsRowFormula>SUMIF(Table12[Enabled],"Yes",Table12[Splash 
DMG])</totalsRowFormula>
    </tableColumn>
    <tableColumn id="10" xr3:uid="{1CB3B9C9-B073-D24E-A036-62CB1C097282}" name="Exprt." totalsRowFunction="custom" dataDxfId="148" totalsRowDxfId="147">
      <totalsRowFormula>SUMIF(Table12[Enabled],"Yes",Table12[Exprt.])</totalsRowFormula>
    </tableColumn>
    <tableColumn id="11" xr3:uid="{80F0809C-2100-2247-9ADB-01576F8CA19B}" name="Mvmt." totalsRowFunction="custom" dataDxfId="146" totalsRowDxfId="145">
      <totalsRowFormula>SUMIF(Table12[Enabled],"Yes",Table12[Mvmt.])</totalsRowFormula>
    </tableColumn>
    <tableColumn id="12" xr3:uid="{100B3365-5937-EA45-886B-E3DFD195C5B2}" name="Extra _x000a_Attack" totalsRowFunction="custom" dataDxfId="144" totalsRowDxfId="143">
      <totalsRowFormula>SUMIF(Table12[Enabled],"Yes",Table12[Extra 
Attack])</totalsRowFormula>
    </tableColumn>
    <tableColumn id="13" xr3:uid="{5594E278-21E8-A14C-ADBC-E8B9C800F93B}" name="Armor" totalsRowFunction="custom" dataDxfId="142" totalsRowDxfId="141">
      <totalsRowFormula>SUMIF(Table12[Enabled],"Yes",Table12[Armor])</totalsRowFormula>
    </tableColumn>
    <tableColumn id="14" xr3:uid="{CB23327D-EFF8-A342-A9DE-65E1B7BC4BE3}" name="Aura" totalsRowFunction="custom" dataDxfId="140" totalsRowDxfId="139">
      <totalsRowFormula>SUMIF(Table12[Enabled],"Yes",Table12[Aura])</totalsRowFormula>
    </tableColumn>
    <tableColumn id="15" xr3:uid="{B0438D6C-EBB6-7D45-9116-94CBEFB8D439}" name="Directed Strike" totalsRowFunction="custom" dataDxfId="138" totalsRowDxfId="137">
      <totalsRowFormula>SUMIF(Table12[Enabled],"Yes",Table12[Directed Strike])</totalsRowFormula>
    </tableColumn>
    <tableColumn id="16" xr3:uid="{0C0196AE-E23B-644F-8625-5FFF406E7239}" name="INI" totalsRowFunction="custom" dataDxfId="136" totalsRowDxfId="135">
      <totalsRowFormula>SUMIF(Table12[Enabled],"Yes",Table12[INI])</totalsRowFormula>
    </tableColumn>
    <tableColumn id="17" xr3:uid="{0CE5E91F-F441-3541-ACBF-9B6E8F3D32BE}" name="STR" totalsRowFunction="custom" dataDxfId="134" totalsRowDxfId="133">
      <totalsRowFormula>SUMIF(Table12[Enabled],"Yes",Table12[STR])</totalsRowFormula>
    </tableColumn>
    <tableColumn id="18" xr3:uid="{CE0B6C3F-7775-4E44-8CAD-EB5E7ED373D8}" name="AGI" totalsRowFunction="custom" dataDxfId="132" totalsRowDxfId="131">
      <totalsRowFormula>SUMIF(Table12[Enabled],"Yes",Table12[AGI])</totalsRowFormula>
    </tableColumn>
    <tableColumn id="19" xr3:uid="{DD3C9C3F-31EB-7F48-83CE-9607AADE61CE}" name="INU" totalsRowFunction="custom" dataDxfId="130" totalsRowDxfId="129">
      <totalsRowFormula>SUMIF(Table12[Enabled],"Yes",Table12[INU])</totalsRowFormula>
    </tableColumn>
    <tableColumn id="20" xr3:uid="{93C1F38D-CC0D-9F4E-AFB2-B3B60FA2E230}" name="CHA" totalsRowFunction="custom" dataDxfId="128" totalsRowDxfId="127">
      <totalsRowFormula>SUMIF(Table12[Enabled],"Yes",Table12[CHA])</totalsRowFormula>
    </tableColumn>
    <tableColumn id="21" xr3:uid="{86EE74A2-267E-5244-ADE0-325523D5DAF0}" name="PER" totalsRowFunction="custom" dataDxfId="126" totalsRowDxfId="125">
      <totalsRowFormula>SUMIF(Table12[Enabled],"Yes",Table12[PER])</totalsRowFormula>
    </tableColumn>
    <tableColumn id="23" xr3:uid="{DBC245A7-FD67-824A-B01B-CDA3F14F2832}" name="Description" dataDxfId="124" totalsRowDxfId="1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22" dataDxfId="121">
  <autoFilter ref="A2:AA21" xr:uid="{B162921F-791F-624A-81ED-6E2D19AD3439}"/>
  <tableColumns count="27">
    <tableColumn id="2" xr3:uid="{E56D130D-99FD-2946-944B-A51CABD832AC}" name="Name" dataDxfId="120" totalsRowDxfId="119"/>
    <tableColumn id="3" xr3:uid="{BC699B2A-E436-DD44-83B3-3C0AAF24FC76}" name="Enabled" dataDxfId="118" totalsRowDxfId="117"/>
    <tableColumn id="25" xr3:uid="{DE34C382-31A8-114A-B47A-484AE873AF1F}" name="Type" dataDxfId="116" totalsRowDxfId="115"/>
    <tableColumn id="24" xr3:uid="{8B9165EA-408B-0644-BD6C-7AF334F6ACD8}" name="#" dataDxfId="114" totalsRowDxfId="113"/>
    <tableColumn id="23" xr3:uid="{ECE39BFF-43E4-2240-9FE3-1B3C6A2CD436}" name="Dice" dataDxfId="112" totalsRowDxfId="111"/>
    <tableColumn id="26" xr3:uid="{3AA6F904-F0B0-9449-8DDC-3027E3A4BE30}" name="Constant" dataDxfId="110" totalsRowDxfId="109"/>
    <tableColumn id="22" xr3:uid="{E209AE0C-255B-2449-B26F-DEE2F0E8CF23}" name="INI" dataDxfId="108" totalsRowDxfId="107"/>
    <tableColumn id="4" xr3:uid="{B47ADA7A-75BF-8845-B1F4-51CE35E67214}" name="DMG" totalsRowFunction="custom" dataDxfId="106" totalsRowDxfId="105">
      <totalsRowFormula>SUMIF(Table1218[Enabled],"Yes",Table1218[DMG])</totalsRowFormula>
    </tableColumn>
    <tableColumn id="5" xr3:uid="{A56869D3-EF92-704B-9000-BD3D1B486A75}" name="Stamina" totalsRowFunction="custom" dataDxfId="104" totalsRowDxfId="103">
      <totalsRowFormula>SUMIF(Table1218[Enabled],"Yes",Table1218[Stamina])</totalsRowFormula>
    </tableColumn>
    <tableColumn id="6" xr3:uid="{4399BDD2-0759-9445-AC6C-05B3B499C492}" name="Crit" totalsRowFunction="custom" dataDxfId="102" totalsRowDxfId="101">
      <totalsRowFormula>SUMIF(Table1218[Enabled],"Yes",Table1218[Crit])</totalsRowFormula>
    </tableColumn>
    <tableColumn id="7" xr3:uid="{D6B38714-0E9C-D649-BFE5-49596BA9BF1C}" name="Crit DMG" totalsRowFunction="custom" dataDxfId="100" totalsRowDxfId="99">
      <totalsRowFormula>SUMIF(Table1218[Enabled],"Yes",Table1218[Crit DMG])</totalsRowFormula>
    </tableColumn>
    <tableColumn id="8" xr3:uid="{9519CA17-112B-224B-952F-51AC027496F6}" name="Splash" totalsRowFunction="custom" dataDxfId="98" totalsRowDxfId="97">
      <totalsRowFormula>SUMIF(Table1218[Enabled],"Yes",Table1218[Splash])</totalsRowFormula>
    </tableColumn>
    <tableColumn id="9" xr3:uid="{429CA498-92FA-A74E-BC4B-6663D9D8CABA}" name="Splash _x000a_DMG" totalsRowFunction="custom" dataDxfId="96" totalsRowDxfId="95">
      <totalsRowFormula>SUMIF(Table1218[Enabled],"Yes",Table1218[Splash 
DMG])</totalsRowFormula>
    </tableColumn>
    <tableColumn id="10" xr3:uid="{37D7FA16-18E2-6842-926B-EFE8BBF1B1DF}" name="Exprt." totalsRowFunction="custom" dataDxfId="94" totalsRowDxfId="93">
      <totalsRowFormula>SUMIF(Table1218[Enabled],"Yes",Table1218[Exprt.])</totalsRowFormula>
    </tableColumn>
    <tableColumn id="11" xr3:uid="{25A44E44-0A05-AC4D-8AB4-EE74A0BFFAED}" name="Mvmt." totalsRowFunction="custom" dataDxfId="92" totalsRowDxfId="91">
      <totalsRowFormula>SUMIF(Table1218[Enabled],"Yes",Table1218[Mvmt.])</totalsRowFormula>
    </tableColumn>
    <tableColumn id="12" xr3:uid="{9162589E-4452-B14F-84BF-BA8ADF153104}" name="Extra _x000a_Attack" totalsRowFunction="custom" dataDxfId="90" totalsRowDxfId="89">
      <totalsRowFormula>SUMIF(Table1218[Enabled],"Yes",Table1218[Extra 
Attack])</totalsRowFormula>
    </tableColumn>
    <tableColumn id="13" xr3:uid="{76EB8C7B-5213-1A46-B243-DA8120143C97}" name="Armor" totalsRowFunction="custom" dataDxfId="88" totalsRowDxfId="87">
      <totalsRowFormula>SUMIF(Table1218[Enabled],"Yes",Table1218[Armor])</totalsRowFormula>
    </tableColumn>
    <tableColumn id="14" xr3:uid="{7694EA49-563E-1E43-AAAE-55BA11A1C48C}" name="Aura" totalsRowFunction="custom" dataDxfId="86" totalsRowDxfId="85">
      <totalsRowFormula>SUMIF(Table1218[Enabled],"Yes",Table1218[Aura])</totalsRowFormula>
    </tableColumn>
    <tableColumn id="15" xr3:uid="{8C961621-41FF-2948-9B22-39E0CDEE8A7E}" name="Directed Strike" totalsRowFunction="custom" dataDxfId="84" totalsRowDxfId="83">
      <totalsRowFormula>SUMIF(Table1218[Enabled],"Yes",Table1218[Directed Strike])</totalsRowFormula>
    </tableColumn>
    <tableColumn id="1" xr3:uid="{7A2D1CD4-98D1-6F4E-B0A1-5BF54AE2F9B7}" name="AP" totalsRowFunction="custom" dataDxfId="82" totalsRowDxfId="81">
      <totalsRowFormula>SUMIF(Table1218[Enabled],"Yes",Table1218[AP])</totalsRowFormula>
    </tableColumn>
    <tableColumn id="16" xr3:uid="{C1A5919F-5B4B-C442-8BBB-F57C37FB2FEE}" name="INI2" totalsRowFunction="custom" dataDxfId="80" totalsRowDxfId="79">
      <totalsRowFormula>SUMIF(Table1218[Enabled],"Yes",Table1218[INI2])</totalsRowFormula>
    </tableColumn>
    <tableColumn id="17" xr3:uid="{93F7A8DA-DC28-864F-8239-7E93AD5F7188}" name="STR" totalsRowFunction="custom" dataDxfId="78" totalsRowDxfId="77">
      <totalsRowFormula>SUMIF(Table1218[Enabled],"Yes",Table1218[STR])</totalsRowFormula>
    </tableColumn>
    <tableColumn id="18" xr3:uid="{5E33A6F3-45E5-B14F-8A37-AE470CDA5006}" name="AGI" totalsRowFunction="custom" dataDxfId="76" totalsRowDxfId="75">
      <totalsRowFormula>SUMIF(Table1218[Enabled],"Yes",Table1218[AGI])</totalsRowFormula>
    </tableColumn>
    <tableColumn id="19" xr3:uid="{47674090-5365-2D4F-B2B6-FA5831CE6013}" name="INU" totalsRowFunction="custom" dataDxfId="74" totalsRowDxfId="73">
      <totalsRowFormula>SUMIF(Table1218[Enabled],"Yes",Table1218[INU])</totalsRowFormula>
    </tableColumn>
    <tableColumn id="20" xr3:uid="{180A191A-7E92-F146-BDD6-AFE6A0673A36}" name="CHA" totalsRowFunction="custom" dataDxfId="72" totalsRowDxfId="71">
      <totalsRowFormula>SUMIF(Table1218[Enabled],"Yes",Table1218[CHA])</totalsRowFormula>
    </tableColumn>
    <tableColumn id="21" xr3:uid="{66B45B9E-7117-9F4B-9D86-B2A72231074D}" name="PER" totalsRowFunction="custom" dataDxfId="70" totalsRowDxfId="69">
      <totalsRowFormula>SUMIF(Table1218[Enabled],"Yes",Table1218[PER])</totalsRowFormula>
    </tableColumn>
    <tableColumn id="27" xr3:uid="{D8540632-FC51-0D4F-8B9C-2BD5CF3D48BD}" name="Result" dataDxfId="68" totalsRowDxfId="67">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66">
  <autoFilter ref="A1:G84" xr:uid="{AB73435D-1DA5-9D4D-A3C2-6FDD431734AF}"/>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E40" sqref="AE40"/>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7" t="str">
        <f>CHARACTER_NAME</f>
        <v>Unknown</v>
      </c>
      <c r="C2" s="107"/>
      <c r="D2" s="107"/>
      <c r="E2" s="107"/>
      <c r="F2" s="107"/>
      <c r="G2" s="107"/>
      <c r="H2" s="107"/>
      <c r="I2" s="107"/>
      <c r="J2" s="107"/>
      <c r="K2" s="107"/>
      <c r="L2" s="107"/>
      <c r="M2" s="107"/>
      <c r="N2" s="107"/>
      <c r="O2" s="107"/>
      <c r="S2" s="102" t="str">
        <f>CHARACTER_RACE</f>
        <v>None</v>
      </c>
      <c r="T2" s="102"/>
      <c r="U2" s="102"/>
      <c r="V2" s="102"/>
      <c r="W2" s="102"/>
      <c r="X2" s="102"/>
      <c r="Y2" s="102"/>
      <c r="Z2" s="102"/>
      <c r="AB2" s="102" t="str">
        <f>CHARACTER_PROFESSION</f>
        <v>None</v>
      </c>
      <c r="AC2" s="102"/>
      <c r="AD2" s="102"/>
      <c r="AE2" s="102"/>
      <c r="AF2" s="102"/>
      <c r="AG2" s="102"/>
      <c r="AH2" s="102"/>
      <c r="AI2" s="102"/>
      <c r="AN2" s="115">
        <f>TOTAL_XP</f>
        <v>0</v>
      </c>
      <c r="AO2" s="115"/>
      <c r="AP2" s="115"/>
      <c r="AQ2" s="115"/>
      <c r="AS2" s="115">
        <f>LVL</f>
        <v>0</v>
      </c>
      <c r="AT2" s="115"/>
      <c r="AU2" s="115"/>
      <c r="AV2" s="115"/>
      <c r="BE2" s="47"/>
    </row>
    <row r="3" spans="2:57" ht="10" customHeight="1" x14ac:dyDescent="0.2">
      <c r="B3" s="107"/>
      <c r="C3" s="107"/>
      <c r="D3" s="107"/>
      <c r="E3" s="107"/>
      <c r="F3" s="107"/>
      <c r="G3" s="107"/>
      <c r="H3" s="107"/>
      <c r="I3" s="107"/>
      <c r="J3" s="107"/>
      <c r="K3" s="107"/>
      <c r="L3" s="107"/>
      <c r="M3" s="107"/>
      <c r="N3" s="107"/>
      <c r="O3" s="107"/>
      <c r="S3" s="103"/>
      <c r="T3" s="103"/>
      <c r="U3" s="103"/>
      <c r="V3" s="103"/>
      <c r="W3" s="103"/>
      <c r="X3" s="103"/>
      <c r="Y3" s="103"/>
      <c r="Z3" s="103"/>
      <c r="AB3" s="103"/>
      <c r="AC3" s="103"/>
      <c r="AD3" s="103"/>
      <c r="AE3" s="103"/>
      <c r="AF3" s="103"/>
      <c r="AG3" s="103"/>
      <c r="AH3" s="103"/>
      <c r="AI3" s="103"/>
      <c r="AN3" s="115"/>
      <c r="AO3" s="115"/>
      <c r="AP3" s="115"/>
      <c r="AQ3" s="115"/>
      <c r="AS3" s="115"/>
      <c r="AT3" s="115"/>
      <c r="AU3" s="115"/>
      <c r="AV3" s="115"/>
    </row>
    <row r="4" spans="2:57" ht="10" customHeight="1" x14ac:dyDescent="0.2">
      <c r="B4" s="107"/>
      <c r="C4" s="107"/>
      <c r="D4" s="107"/>
      <c r="E4" s="107"/>
      <c r="F4" s="107"/>
      <c r="G4" s="107"/>
      <c r="H4" s="107"/>
      <c r="I4" s="107"/>
      <c r="J4" s="107"/>
      <c r="K4" s="107"/>
      <c r="L4" s="107"/>
      <c r="M4" s="107"/>
      <c r="N4" s="107"/>
      <c r="O4" s="107"/>
      <c r="S4" s="36" t="s">
        <v>50</v>
      </c>
      <c r="Z4" s="30"/>
      <c r="AB4" s="36" t="s">
        <v>201</v>
      </c>
      <c r="AI4" s="30"/>
      <c r="AJ4" s="31"/>
      <c r="AK4" s="31"/>
      <c r="AL4" s="31"/>
      <c r="AM4" s="31"/>
      <c r="AN4" s="115"/>
      <c r="AO4" s="115"/>
      <c r="AP4" s="115"/>
      <c r="AQ4" s="115"/>
      <c r="AR4" s="31"/>
      <c r="AS4" s="115"/>
      <c r="AT4" s="115"/>
      <c r="AU4" s="115"/>
      <c r="AV4" s="115"/>
    </row>
    <row r="5" spans="2:57" ht="10" customHeight="1" x14ac:dyDescent="0.2">
      <c r="B5" s="108"/>
      <c r="C5" s="108"/>
      <c r="D5" s="32"/>
      <c r="E5" s="108"/>
      <c r="F5" s="108"/>
      <c r="Z5" s="30"/>
      <c r="AB5" s="31"/>
      <c r="AC5" s="31"/>
      <c r="AD5" s="31"/>
      <c r="AE5" s="31"/>
      <c r="AF5" s="31"/>
      <c r="AG5" s="31"/>
      <c r="AH5" s="31"/>
      <c r="AI5" s="31"/>
      <c r="AJ5" s="31"/>
      <c r="AK5" s="31"/>
      <c r="AL5" s="31"/>
      <c r="AM5" s="31"/>
      <c r="AN5" s="116"/>
      <c r="AO5" s="116"/>
      <c r="AP5" s="116"/>
      <c r="AQ5" s="116"/>
      <c r="AR5" s="31"/>
      <c r="AS5" s="116"/>
      <c r="AT5" s="116"/>
      <c r="AU5" s="116"/>
      <c r="AV5" s="116"/>
    </row>
    <row r="6" spans="2:57" ht="10" customHeight="1" x14ac:dyDescent="0.2">
      <c r="F6" s="32"/>
      <c r="AN6" s="117" t="s">
        <v>52</v>
      </c>
      <c r="AO6" s="117"/>
      <c r="AP6" s="117"/>
      <c r="AQ6" s="117"/>
      <c r="AR6" s="31"/>
      <c r="AS6" s="117" t="s">
        <v>41</v>
      </c>
      <c r="AT6" s="117"/>
      <c r="AU6" s="117"/>
      <c r="AV6" s="117"/>
    </row>
    <row r="7" spans="2:57" ht="10" customHeight="1" thickBot="1" x14ac:dyDescent="0.25">
      <c r="F7" s="32"/>
      <c r="AP7" s="31"/>
      <c r="AQ7" s="31"/>
      <c r="AR7" s="31"/>
      <c r="AS7" s="31"/>
      <c r="AT7" s="31"/>
    </row>
    <row r="8" spans="2:57" ht="10" customHeight="1" thickTop="1" x14ac:dyDescent="0.2">
      <c r="B8" s="94" t="s">
        <v>30</v>
      </c>
      <c r="C8" s="95"/>
      <c r="D8" s="95"/>
      <c r="E8" s="96"/>
      <c r="F8" s="32"/>
      <c r="H8" s="104" t="s">
        <v>101</v>
      </c>
      <c r="I8" s="105"/>
      <c r="J8" s="105"/>
      <c r="K8" s="106"/>
      <c r="M8" s="104" t="s">
        <v>121</v>
      </c>
      <c r="N8" s="105"/>
      <c r="O8" s="105"/>
      <c r="P8" s="106"/>
      <c r="R8" s="104" t="s">
        <v>122</v>
      </c>
      <c r="S8" s="105"/>
      <c r="T8" s="105"/>
      <c r="U8" s="106"/>
      <c r="W8" s="104" t="s">
        <v>69</v>
      </c>
      <c r="X8" s="105"/>
      <c r="Y8" s="105"/>
      <c r="Z8" s="106"/>
      <c r="AB8" s="104" t="s">
        <v>118</v>
      </c>
      <c r="AC8" s="105"/>
      <c r="AD8" s="105"/>
      <c r="AE8" s="106"/>
      <c r="AF8" s="31"/>
      <c r="AG8" s="104" t="s">
        <v>206</v>
      </c>
      <c r="AH8" s="105"/>
      <c r="AI8" s="105"/>
      <c r="AJ8" s="106"/>
      <c r="AK8" s="31"/>
      <c r="AL8" s="104" t="s">
        <v>216</v>
      </c>
      <c r="AM8" s="105"/>
      <c r="AN8" s="105"/>
      <c r="AO8" s="106"/>
      <c r="AQ8" s="104" t="s">
        <v>210</v>
      </c>
      <c r="AR8" s="105"/>
      <c r="AS8" s="105"/>
      <c r="AT8" s="106"/>
    </row>
    <row r="9" spans="2:57" ht="10" customHeight="1" x14ac:dyDescent="0.2">
      <c r="B9" s="91">
        <f>STR</f>
        <v>1</v>
      </c>
      <c r="C9" s="92"/>
      <c r="D9" s="92"/>
      <c r="E9" s="93"/>
      <c r="F9" s="32"/>
      <c r="H9" s="109">
        <f>CHARACTER_HP</f>
        <v>5</v>
      </c>
      <c r="I9" s="110"/>
      <c r="J9" s="110"/>
      <c r="K9" s="111"/>
      <c r="M9" s="109">
        <f>CHARACTER_ARMOR</f>
        <v>0</v>
      </c>
      <c r="N9" s="110"/>
      <c r="O9" s="110"/>
      <c r="P9" s="111"/>
      <c r="R9" s="109">
        <f>CHARACTER_AURA</f>
        <v>0</v>
      </c>
      <c r="S9" s="110"/>
      <c r="T9" s="110"/>
      <c r="U9" s="111"/>
      <c r="W9" s="109">
        <f>CHARACTER_EXPERTISE</f>
        <v>0</v>
      </c>
      <c r="X9" s="110"/>
      <c r="Y9" s="110"/>
      <c r="Z9" s="111"/>
      <c r="AB9" s="109">
        <f>CHARACTER_MOVEMENT</f>
        <v>10</v>
      </c>
      <c r="AC9" s="110"/>
      <c r="AD9" s="110"/>
      <c r="AE9" s="111"/>
      <c r="AF9" s="31"/>
      <c r="AG9" s="109">
        <f>CHARACTER_INI</f>
        <v>20</v>
      </c>
      <c r="AH9" s="110"/>
      <c r="AI9" s="110"/>
      <c r="AJ9" s="111"/>
      <c r="AK9" s="31"/>
      <c r="AL9" s="109" t="str">
        <f>FEAT_INI</f>
        <v>0</v>
      </c>
      <c r="AM9" s="110"/>
      <c r="AN9" s="110"/>
      <c r="AO9" s="111"/>
      <c r="AQ9" s="109">
        <f>CHARACTER_AP</f>
        <v>3</v>
      </c>
      <c r="AR9" s="110"/>
      <c r="AS9" s="110"/>
      <c r="AT9" s="111"/>
    </row>
    <row r="10" spans="2:57" ht="10" customHeight="1" x14ac:dyDescent="0.2">
      <c r="B10" s="91"/>
      <c r="C10" s="92"/>
      <c r="D10" s="92"/>
      <c r="E10" s="93"/>
      <c r="F10" s="32"/>
      <c r="H10" s="109"/>
      <c r="I10" s="110"/>
      <c r="J10" s="110"/>
      <c r="K10" s="111"/>
      <c r="M10" s="109"/>
      <c r="N10" s="110"/>
      <c r="O10" s="110"/>
      <c r="P10" s="111"/>
      <c r="R10" s="109"/>
      <c r="S10" s="110"/>
      <c r="T10" s="110"/>
      <c r="U10" s="111"/>
      <c r="W10" s="109"/>
      <c r="X10" s="110"/>
      <c r="Y10" s="110"/>
      <c r="Z10" s="111"/>
      <c r="AB10" s="109"/>
      <c r="AC10" s="110"/>
      <c r="AD10" s="110"/>
      <c r="AE10" s="111"/>
      <c r="AF10" s="31"/>
      <c r="AG10" s="109"/>
      <c r="AH10" s="110"/>
      <c r="AI10" s="110"/>
      <c r="AJ10" s="111"/>
      <c r="AK10" s="31"/>
      <c r="AL10" s="109"/>
      <c r="AM10" s="110"/>
      <c r="AN10" s="110"/>
      <c r="AO10" s="111"/>
      <c r="AP10" s="31"/>
      <c r="AQ10" s="109"/>
      <c r="AR10" s="110"/>
      <c r="AS10" s="110"/>
      <c r="AT10" s="111"/>
    </row>
    <row r="11" spans="2:57" ht="10" customHeight="1" thickBot="1" x14ac:dyDescent="0.25">
      <c r="B11" s="91"/>
      <c r="C11" s="92"/>
      <c r="D11" s="92"/>
      <c r="E11" s="93"/>
      <c r="F11" s="32"/>
      <c r="H11" s="112"/>
      <c r="I11" s="113"/>
      <c r="J11" s="113"/>
      <c r="K11" s="114"/>
      <c r="M11" s="112"/>
      <c r="N11" s="113"/>
      <c r="O11" s="113"/>
      <c r="P11" s="114"/>
      <c r="R11" s="112"/>
      <c r="S11" s="113"/>
      <c r="T11" s="113"/>
      <c r="U11" s="114"/>
      <c r="W11" s="112"/>
      <c r="X11" s="113"/>
      <c r="Y11" s="113"/>
      <c r="Z11" s="114"/>
      <c r="AB11" s="112"/>
      <c r="AC11" s="113"/>
      <c r="AD11" s="113"/>
      <c r="AE11" s="114"/>
      <c r="AF11" s="31"/>
      <c r="AG11" s="112"/>
      <c r="AH11" s="113"/>
      <c r="AI11" s="113"/>
      <c r="AJ11" s="114"/>
      <c r="AK11" s="31"/>
      <c r="AL11" s="112"/>
      <c r="AM11" s="113"/>
      <c r="AN11" s="113"/>
      <c r="AO11" s="114"/>
      <c r="AP11" s="31"/>
      <c r="AQ11" s="112"/>
      <c r="AR11" s="113"/>
      <c r="AS11" s="113"/>
      <c r="AT11" s="114"/>
    </row>
    <row r="12" spans="2:57" ht="10" customHeight="1" thickTop="1" thickBot="1" x14ac:dyDescent="0.25">
      <c r="B12" s="37"/>
      <c r="C12" s="87">
        <f>STR_TOTAL</f>
        <v>5</v>
      </c>
      <c r="D12" s="88"/>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89"/>
      <c r="D13" s="90"/>
      <c r="E13" s="32"/>
      <c r="F13" s="32"/>
      <c r="G13" s="36"/>
      <c r="H13" s="44" t="str">
        <f>INDEX(Skills!$A$1:$K$34,2,1)</f>
        <v>Weapon Skill</v>
      </c>
      <c r="I13" s="45"/>
      <c r="J13" s="45"/>
      <c r="K13" s="45"/>
      <c r="L13" s="45"/>
      <c r="M13" s="45"/>
      <c r="N13" s="40" t="str">
        <f>INDEX(Table2[[#Headers],[#Data]],2,11)</f>
        <v>1d10 + 0</v>
      </c>
      <c r="O13" s="40"/>
      <c r="P13" s="40"/>
      <c r="Q13" s="41"/>
      <c r="R13" s="36"/>
      <c r="S13" s="51" t="s">
        <v>109</v>
      </c>
      <c r="T13" s="40"/>
      <c r="U13" s="40"/>
      <c r="V13" s="40"/>
      <c r="W13" s="40"/>
      <c r="X13" s="40"/>
      <c r="Y13" s="59" t="str">
        <f>INDEX(FEATS,ROW(A1),11)</f>
        <v>+0</v>
      </c>
      <c r="Z13" s="53"/>
      <c r="AA13" s="53"/>
      <c r="AB13" s="54"/>
      <c r="AC13" s="36"/>
      <c r="AE13" s="97" t="s">
        <v>88</v>
      </c>
      <c r="AF13" s="97"/>
      <c r="AG13" s="97"/>
      <c r="AH13" s="97"/>
      <c r="AI13" s="97"/>
      <c r="AJ13" s="97"/>
      <c r="AK13" s="97"/>
      <c r="AL13" s="97"/>
      <c r="AM13" s="97"/>
      <c r="AN13" s="97"/>
      <c r="AO13" s="97"/>
      <c r="AP13" s="97"/>
      <c r="AQ13" s="97"/>
      <c r="AR13" s="97"/>
      <c r="AS13" s="97"/>
      <c r="AT13" s="97"/>
      <c r="AU13" s="97"/>
      <c r="AV13" s="97"/>
      <c r="AW13" s="97"/>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111</v>
      </c>
      <c r="T14" s="42"/>
      <c r="U14" s="42"/>
      <c r="V14" s="42"/>
      <c r="W14" s="42"/>
      <c r="X14" s="42"/>
      <c r="Y14" s="58" t="str">
        <f>INDEX(FEATS,ROW(A2),11)</f>
        <v>+0</v>
      </c>
      <c r="AA14" s="55"/>
      <c r="AB14" s="56"/>
      <c r="AC14" s="36"/>
      <c r="AE14" s="98"/>
      <c r="AF14" s="98"/>
      <c r="AG14" s="98"/>
      <c r="AH14" s="98"/>
      <c r="AI14" s="98"/>
      <c r="AJ14" s="98"/>
      <c r="AK14" s="98"/>
      <c r="AL14" s="98"/>
      <c r="AM14" s="98"/>
      <c r="AN14" s="98"/>
      <c r="AO14" s="98"/>
      <c r="AP14" s="98"/>
      <c r="AQ14" s="98"/>
      <c r="AR14" s="98"/>
      <c r="AS14" s="98"/>
      <c r="AT14" s="98"/>
      <c r="AU14" s="98"/>
      <c r="AV14" s="98"/>
      <c r="AW14" s="98"/>
    </row>
    <row r="15" spans="2:57" ht="10" customHeight="1" x14ac:dyDescent="0.15">
      <c r="B15" s="94" t="s">
        <v>31</v>
      </c>
      <c r="C15" s="95"/>
      <c r="D15" s="95"/>
      <c r="E15" s="96"/>
      <c r="F15" s="32"/>
      <c r="G15" s="36"/>
      <c r="H15" s="46" t="str">
        <f>INDEX(Skills!$A$1:$K$34,4,1)</f>
        <v>Dodge</v>
      </c>
      <c r="I15" s="47"/>
      <c r="J15" s="47"/>
      <c r="K15" s="47"/>
      <c r="L15" s="47"/>
      <c r="M15" s="47"/>
      <c r="N15" s="42" t="str">
        <f>INDEX(Table2[[#Headers],[#Data]],4,11)</f>
        <v>1d10 + 0</v>
      </c>
      <c r="O15" s="42"/>
      <c r="P15" s="42"/>
      <c r="Q15" s="43"/>
      <c r="R15" s="36"/>
      <c r="S15" s="52" t="s">
        <v>112</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1">
        <f>AGI</f>
        <v>1</v>
      </c>
      <c r="C16" s="92"/>
      <c r="D16" s="92"/>
      <c r="E16" s="93"/>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+0d4</v>
      </c>
      <c r="AA16" s="55"/>
      <c r="AB16" s="56"/>
      <c r="AC16" s="36"/>
      <c r="AE16" s="118" t="str">
        <f>Weapons!AA3</f>
        <v>Great Axe: 2d12+2+1+0  INI:18</v>
      </c>
      <c r="AF16" s="118"/>
      <c r="AG16" s="118"/>
      <c r="AH16" s="118"/>
      <c r="AI16" s="118"/>
      <c r="AJ16" s="118"/>
      <c r="AK16" s="118"/>
      <c r="AL16" s="118"/>
      <c r="AM16" s="118"/>
      <c r="AN16" s="118"/>
      <c r="AO16" s="118"/>
      <c r="AP16" s="118"/>
      <c r="AQ16" s="118"/>
      <c r="AR16" s="118"/>
      <c r="AS16" s="118"/>
      <c r="AT16" s="118"/>
      <c r="AU16" s="118"/>
      <c r="AV16" s="118"/>
      <c r="AW16" s="118"/>
      <c r="AX16" s="75"/>
      <c r="AY16" s="75"/>
      <c r="AZ16" s="75"/>
      <c r="BA16" s="75"/>
      <c r="BB16" s="75"/>
      <c r="BC16" s="75"/>
      <c r="BD16" s="20"/>
    </row>
    <row r="17" spans="2:59" ht="10" customHeight="1" x14ac:dyDescent="0.25">
      <c r="B17" s="91"/>
      <c r="C17" s="92"/>
      <c r="D17" s="92"/>
      <c r="E17" s="93"/>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91"/>
      <c r="C18" s="92"/>
      <c r="D18" s="92"/>
      <c r="E18" s="93"/>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7">
        <f>AGI_TOTAL</f>
        <v>5</v>
      </c>
      <c r="D19" s="88"/>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89"/>
      <c r="D20" s="90"/>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0ft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4" t="s">
        <v>32</v>
      </c>
      <c r="C22" s="95"/>
      <c r="D22" s="95"/>
      <c r="E22" s="96"/>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+0</v>
      </c>
      <c r="AA22" s="55"/>
      <c r="AB22" s="56"/>
      <c r="AC22" s="36"/>
      <c r="AE22" s="97" t="s">
        <v>66</v>
      </c>
      <c r="AF22" s="97"/>
      <c r="AG22" s="97"/>
      <c r="AH22" s="97"/>
      <c r="AI22" s="97"/>
      <c r="AJ22" s="97"/>
      <c r="AK22" s="97"/>
      <c r="AL22" s="97"/>
      <c r="AM22" s="97"/>
      <c r="AN22" s="97"/>
      <c r="AO22" s="97"/>
      <c r="AP22" s="97"/>
      <c r="AQ22" s="97"/>
      <c r="AR22" s="97"/>
      <c r="AS22" s="97"/>
      <c r="AT22" s="97"/>
      <c r="AU22" s="97"/>
      <c r="AV22" s="97"/>
      <c r="AW22" s="97"/>
      <c r="BA22" s="32"/>
      <c r="BB22" s="32"/>
      <c r="BC22" s="32"/>
      <c r="BD22" s="32"/>
      <c r="BE22" s="32"/>
      <c r="BF22" s="32"/>
      <c r="BG22" s="32"/>
    </row>
    <row r="23" spans="2:59" ht="10" customHeight="1" x14ac:dyDescent="0.15">
      <c r="B23" s="91">
        <f>INU</f>
        <v>1</v>
      </c>
      <c r="C23" s="92"/>
      <c r="D23" s="92"/>
      <c r="E23" s="93"/>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+0</v>
      </c>
      <c r="AA23" s="42"/>
      <c r="AB23" s="43"/>
      <c r="AC23" s="36"/>
      <c r="AD23" s="36"/>
      <c r="AE23" s="98"/>
      <c r="AF23" s="98"/>
      <c r="AG23" s="98"/>
      <c r="AH23" s="98"/>
      <c r="AI23" s="98"/>
      <c r="AJ23" s="98"/>
      <c r="AK23" s="98"/>
      <c r="AL23" s="98"/>
      <c r="AM23" s="98"/>
      <c r="AN23" s="98"/>
      <c r="AO23" s="98"/>
      <c r="AP23" s="98"/>
      <c r="AQ23" s="98"/>
      <c r="AR23" s="98"/>
      <c r="AS23" s="98"/>
      <c r="AT23" s="98"/>
      <c r="AU23" s="98"/>
      <c r="AV23" s="98"/>
      <c r="AW23" s="98"/>
      <c r="BA23" s="32"/>
      <c r="BB23" s="32"/>
      <c r="BC23" s="32"/>
      <c r="BD23" s="32"/>
      <c r="BE23" s="32"/>
      <c r="BF23" s="32"/>
      <c r="BG23" s="32"/>
    </row>
    <row r="24" spans="2:59" ht="10" customHeight="1" x14ac:dyDescent="0.15">
      <c r="B24" s="91"/>
      <c r="C24" s="92"/>
      <c r="D24" s="92"/>
      <c r="E24" s="93"/>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1"/>
      <c r="C25" s="92"/>
      <c r="D25" s="92"/>
      <c r="E25" s="93"/>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0</v>
      </c>
      <c r="AA25" s="42"/>
      <c r="AB25" s="43"/>
      <c r="AC25" s="36"/>
      <c r="AD25" s="36"/>
      <c r="AE25" s="36"/>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87">
        <f>INU_TOTAL</f>
        <v>5</v>
      </c>
      <c r="D26" s="88"/>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83"/>
      <c r="AF26" s="83"/>
      <c r="AG26" s="83"/>
      <c r="AH26" s="83"/>
      <c r="AI26" s="83"/>
      <c r="AJ26" s="83"/>
      <c r="AK26" s="83"/>
      <c r="AL26" s="83"/>
      <c r="AM26" s="83"/>
      <c r="AN26" s="83"/>
      <c r="AO26" s="83"/>
      <c r="AP26" s="83"/>
      <c r="AQ26" s="83"/>
      <c r="AR26" s="83"/>
      <c r="AS26" s="83"/>
      <c r="AT26" s="83"/>
      <c r="AU26" s="83"/>
      <c r="AV26" s="83"/>
      <c r="AW26" s="83"/>
      <c r="BA26" s="32"/>
      <c r="BB26" s="32"/>
      <c r="BC26" s="68"/>
      <c r="BD26" s="32"/>
      <c r="BE26" s="32"/>
      <c r="BF26" s="32"/>
      <c r="BG26" s="32"/>
    </row>
    <row r="27" spans="2:59" ht="10" customHeight="1" x14ac:dyDescent="0.2">
      <c r="B27" s="33"/>
      <c r="C27" s="89"/>
      <c r="D27" s="90"/>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83"/>
      <c r="AF27" s="83"/>
      <c r="AG27" s="83"/>
      <c r="AH27" s="83"/>
      <c r="AI27" s="83"/>
      <c r="AJ27" s="83"/>
      <c r="AK27" s="83"/>
      <c r="AL27" s="83"/>
      <c r="AM27" s="83"/>
      <c r="AN27" s="83"/>
      <c r="AO27" s="83"/>
      <c r="AP27" s="83"/>
      <c r="AQ27" s="83"/>
      <c r="AR27" s="83"/>
      <c r="AS27" s="83"/>
      <c r="AT27" s="83"/>
      <c r="AU27" s="83"/>
      <c r="AV27" s="83"/>
      <c r="AW27" s="83"/>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9" t="s">
        <v>63</v>
      </c>
      <c r="T28" s="100"/>
      <c r="U28" s="100"/>
      <c r="V28" s="100"/>
      <c r="W28" s="100"/>
      <c r="X28" s="100"/>
      <c r="Y28" s="100"/>
      <c r="Z28" s="100"/>
      <c r="AA28" s="100"/>
      <c r="AB28" s="101"/>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4" t="s">
        <v>54</v>
      </c>
      <c r="C29" s="95"/>
      <c r="D29" s="95"/>
      <c r="E29" s="96"/>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1">
        <f>CHA</f>
        <v>1</v>
      </c>
      <c r="C30" s="92"/>
      <c r="D30" s="92"/>
      <c r="E30" s="93"/>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91"/>
      <c r="C31" s="92"/>
      <c r="D31" s="92"/>
      <c r="E31" s="93"/>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1"/>
      <c r="C32" s="92"/>
      <c r="D32" s="92"/>
      <c r="E32" s="93"/>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0" t="str">
        <f t="shared" si="1"/>
        <v>1d10 + 0</v>
      </c>
      <c r="Z32" s="65"/>
      <c r="AA32" s="65"/>
      <c r="AB32" s="67"/>
      <c r="AC32" s="36"/>
      <c r="AD32" s="36"/>
      <c r="AE32" s="97" t="s">
        <v>339</v>
      </c>
      <c r="AF32" s="97"/>
      <c r="AG32" s="97"/>
      <c r="AH32" s="97"/>
      <c r="AI32" s="97"/>
      <c r="AJ32" s="97"/>
      <c r="AK32" s="97"/>
      <c r="AL32" s="97"/>
      <c r="AM32" s="97"/>
      <c r="AN32" s="97"/>
      <c r="AO32" s="97"/>
      <c r="AP32" s="97"/>
      <c r="AQ32" s="97"/>
      <c r="AR32" s="97"/>
      <c r="AS32" s="97"/>
      <c r="AT32" s="97"/>
      <c r="AU32" s="97"/>
      <c r="AV32" s="97"/>
      <c r="AW32" s="97"/>
      <c r="BA32" s="32"/>
      <c r="BB32" s="32"/>
      <c r="BC32" s="32"/>
      <c r="BD32" s="32"/>
      <c r="BE32" s="32"/>
      <c r="BF32" s="32"/>
      <c r="BG32" s="32"/>
    </row>
    <row r="33" spans="2:59" ht="10" customHeight="1" thickBot="1" x14ac:dyDescent="0.2">
      <c r="B33" s="34"/>
      <c r="C33" s="87">
        <f>CHA_TOTAL</f>
        <v>5</v>
      </c>
      <c r="D33" s="88"/>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0" t="str">
        <f t="shared" si="1"/>
        <v>1d10 + 0</v>
      </c>
      <c r="Z33" s="65"/>
      <c r="AA33" s="65"/>
      <c r="AB33" s="67"/>
      <c r="AC33" s="36"/>
      <c r="AD33" s="36"/>
      <c r="AE33" s="98"/>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89"/>
      <c r="D34" s="90"/>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0" t="str">
        <f t="shared" si="1"/>
        <v>1d10 + 0</v>
      </c>
      <c r="Z34" s="65"/>
      <c r="AA34" s="65"/>
      <c r="AB34" s="67"/>
      <c r="AC34" s="36"/>
      <c r="AD34" s="36"/>
      <c r="AE34" s="36"/>
      <c r="AF34" s="36"/>
      <c r="AG34" s="36"/>
      <c r="AH34" s="36"/>
      <c r="AI34" s="36"/>
      <c r="AJ34" s="36"/>
      <c r="AK34" s="36"/>
      <c r="AL34" s="36"/>
      <c r="AM34" s="36"/>
      <c r="AN34" s="84"/>
      <c r="AO34" s="84"/>
      <c r="AP34" s="84"/>
      <c r="AQ34" s="84"/>
      <c r="AR34" s="84"/>
      <c r="AS34" s="84"/>
      <c r="AT34" s="84"/>
      <c r="AU34" s="36"/>
      <c r="AV34" s="36"/>
      <c r="AW34" s="36"/>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0" t="str">
        <f t="shared" si="1"/>
        <v>1d10 + 0</v>
      </c>
      <c r="Z35" s="65"/>
      <c r="AA35" s="65"/>
      <c r="AB35" s="67"/>
      <c r="AC35" s="36"/>
      <c r="AD35" s="36"/>
      <c r="AE35" s="118" t="str">
        <f>"Strength: " &amp; Statistics!$O2</f>
        <v>Strength: 1d10 + 0</v>
      </c>
      <c r="AF35" s="118"/>
      <c r="AG35" s="118"/>
      <c r="AH35" s="118"/>
      <c r="AI35" s="118"/>
      <c r="AJ35" s="118"/>
      <c r="AK35" s="118"/>
      <c r="AL35" s="118"/>
      <c r="AM35" s="118"/>
      <c r="AN35" s="118"/>
      <c r="AO35" s="118"/>
      <c r="AP35" s="118"/>
      <c r="AQ35" s="118"/>
      <c r="AR35" s="118"/>
      <c r="AS35" s="118"/>
      <c r="AT35" s="118"/>
      <c r="AU35" s="118"/>
      <c r="AV35" s="118"/>
      <c r="AW35" s="118"/>
      <c r="BA35" s="32"/>
      <c r="BB35" s="32"/>
      <c r="BC35" s="32"/>
      <c r="BD35" s="32"/>
      <c r="BE35" s="32"/>
      <c r="BF35" s="32"/>
      <c r="BG35" s="32"/>
    </row>
    <row r="36" spans="2:59" ht="10" customHeight="1" x14ac:dyDescent="0.15">
      <c r="B36" s="94" t="s">
        <v>33</v>
      </c>
      <c r="C36" s="95"/>
      <c r="D36" s="95"/>
      <c r="E36" s="96"/>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0" t="str">
        <f t="shared" si="1"/>
        <v>1d10 + 0</v>
      </c>
      <c r="Z36" s="65"/>
      <c r="AA36" s="65"/>
      <c r="AB36" s="67"/>
      <c r="AC36" s="36"/>
      <c r="AD36" s="36"/>
      <c r="AE36" s="118" t="str">
        <f>"Agility: " &amp; Statistics!$O3</f>
        <v>Agility: 1d10 + 0</v>
      </c>
      <c r="AF36" s="118"/>
      <c r="AG36" s="118"/>
      <c r="AH36" s="118"/>
      <c r="AI36" s="118"/>
      <c r="AJ36" s="118"/>
      <c r="AK36" s="118"/>
      <c r="AL36" s="118"/>
      <c r="AM36" s="118"/>
      <c r="AN36" s="118"/>
      <c r="AO36" s="118"/>
      <c r="AP36" s="118"/>
      <c r="AQ36" s="118"/>
      <c r="AR36" s="118"/>
      <c r="AS36" s="118"/>
      <c r="AT36" s="118"/>
      <c r="AU36" s="118"/>
      <c r="AV36" s="118"/>
      <c r="AW36" s="118"/>
      <c r="BA36" s="32"/>
      <c r="BB36" s="32"/>
      <c r="BC36" s="32"/>
      <c r="BD36" s="32"/>
      <c r="BE36" s="32"/>
      <c r="BF36" s="32"/>
      <c r="BG36" s="32"/>
    </row>
    <row r="37" spans="2:59" ht="10" customHeight="1" x14ac:dyDescent="0.15">
      <c r="B37" s="91">
        <f>PER</f>
        <v>1</v>
      </c>
      <c r="C37" s="92"/>
      <c r="D37" s="92"/>
      <c r="E37" s="93"/>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0" t="str">
        <f t="shared" si="1"/>
        <v>1d10 + 0</v>
      </c>
      <c r="Z37" s="65"/>
      <c r="AA37" s="65"/>
      <c r="AB37" s="67"/>
      <c r="AC37" s="36"/>
      <c r="AD37" s="36"/>
      <c r="AE37" s="118" t="str">
        <f>"Intuition: " &amp; Statistics!$O4</f>
        <v>Intuition: 1d10 + 0</v>
      </c>
      <c r="AF37" s="118"/>
      <c r="AG37" s="118"/>
      <c r="AH37" s="118"/>
      <c r="AI37" s="118"/>
      <c r="AJ37" s="118"/>
      <c r="AK37" s="118"/>
      <c r="AL37" s="118"/>
      <c r="AM37" s="118"/>
      <c r="AN37" s="118"/>
      <c r="AO37" s="118"/>
      <c r="AP37" s="118"/>
      <c r="AQ37" s="118"/>
      <c r="AR37" s="118"/>
      <c r="AS37" s="118"/>
      <c r="AT37" s="118"/>
      <c r="AU37" s="118"/>
      <c r="AV37" s="118"/>
      <c r="AW37" s="118"/>
      <c r="BA37" s="32"/>
      <c r="BB37" s="32"/>
      <c r="BC37" s="32"/>
      <c r="BD37" s="32"/>
      <c r="BE37" s="32"/>
      <c r="BF37" s="32"/>
      <c r="BG37" s="32"/>
    </row>
    <row r="38" spans="2:59" ht="10" customHeight="1" x14ac:dyDescent="0.15">
      <c r="B38" s="91"/>
      <c r="C38" s="92"/>
      <c r="D38" s="92"/>
      <c r="E38" s="93"/>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0" t="str">
        <f t="shared" si="1"/>
        <v>1d10 + 0</v>
      </c>
      <c r="Z38" s="65"/>
      <c r="AA38" s="65"/>
      <c r="AB38" s="67"/>
      <c r="AC38" s="36"/>
      <c r="AD38" s="36"/>
      <c r="AE38" s="118" t="str">
        <f>"Charisma: " &amp; Statistics!$O5</f>
        <v>Charisma: 1d10 + 0</v>
      </c>
      <c r="AF38" s="118"/>
      <c r="AG38" s="118"/>
      <c r="AH38" s="118"/>
      <c r="AI38" s="118"/>
      <c r="AJ38" s="118"/>
      <c r="AK38" s="118"/>
      <c r="AL38" s="118"/>
      <c r="AM38" s="118"/>
      <c r="AN38" s="118"/>
      <c r="AO38" s="118"/>
      <c r="AP38" s="118"/>
      <c r="AQ38" s="118"/>
      <c r="AR38" s="118"/>
      <c r="AS38" s="118"/>
      <c r="AT38" s="118"/>
      <c r="AU38" s="118"/>
      <c r="AV38" s="118"/>
      <c r="AW38" s="118"/>
      <c r="BA38" s="32"/>
      <c r="BB38" s="32"/>
      <c r="BC38" s="32"/>
      <c r="BD38" s="32"/>
      <c r="BE38" s="32"/>
      <c r="BF38" s="32"/>
      <c r="BG38" s="32"/>
    </row>
    <row r="39" spans="2:59" ht="10" customHeight="1" x14ac:dyDescent="0.15">
      <c r="B39" s="91"/>
      <c r="C39" s="92"/>
      <c r="D39" s="92"/>
      <c r="E39" s="93"/>
      <c r="G39" s="36"/>
      <c r="H39" s="46" t="str">
        <f>INDEX(Skills!$A$1:$K$34,28,1)</f>
        <v>Culture</v>
      </c>
      <c r="I39" s="47"/>
      <c r="J39" s="47"/>
      <c r="K39" s="47"/>
      <c r="L39" s="47"/>
      <c r="M39" s="47"/>
      <c r="N39" s="42" t="str">
        <f>INDEX(Table2[[#Headers],[#Data]],28,11)</f>
        <v>1d10 + 0</v>
      </c>
      <c r="O39" s="42"/>
      <c r="P39" s="42"/>
      <c r="Q39" s="43"/>
      <c r="R39" s="36"/>
      <c r="S39" s="85" t="s">
        <v>228</v>
      </c>
      <c r="T39" s="68"/>
      <c r="U39" s="68"/>
      <c r="V39" s="68"/>
      <c r="W39" s="58" t="s">
        <v>38</v>
      </c>
      <c r="X39" s="68"/>
      <c r="Y39" s="70" t="str">
        <f>INDEX(RESISTANCES,ROW(A11),11)</f>
        <v>1d20 + 0</v>
      </c>
      <c r="Z39" s="68"/>
      <c r="AA39" s="68"/>
      <c r="AB39" s="86"/>
      <c r="AC39" s="36"/>
      <c r="AD39" s="36"/>
      <c r="AE39" s="118" t="str">
        <f>"Perception: " &amp; Statistics!$O6</f>
        <v>Perception: 1d10 + 0</v>
      </c>
      <c r="AF39" s="118"/>
      <c r="AG39" s="118"/>
      <c r="AH39" s="118"/>
      <c r="AI39" s="118"/>
      <c r="AJ39" s="118"/>
      <c r="AK39" s="118"/>
      <c r="AL39" s="118"/>
      <c r="AM39" s="118"/>
      <c r="AN39" s="118"/>
      <c r="AO39" s="118"/>
      <c r="AP39" s="118"/>
      <c r="AQ39" s="118"/>
      <c r="AR39" s="118"/>
      <c r="AS39" s="118"/>
      <c r="AT39" s="118"/>
      <c r="AU39" s="118"/>
      <c r="AV39" s="118"/>
      <c r="AW39" s="118"/>
      <c r="BA39" s="32"/>
      <c r="BB39" s="32"/>
      <c r="BC39" s="32"/>
      <c r="BD39" s="32"/>
      <c r="BE39" s="32"/>
      <c r="BF39" s="32"/>
      <c r="BG39" s="32"/>
    </row>
    <row r="40" spans="2:59" ht="10" customHeight="1" thickBot="1" x14ac:dyDescent="0.25">
      <c r="B40" s="34"/>
      <c r="C40" s="87">
        <f>PER_TOTAL</f>
        <v>5</v>
      </c>
      <c r="D40" s="88"/>
      <c r="E40" s="35"/>
      <c r="G40" s="36"/>
      <c r="H40" s="99" t="s">
        <v>62</v>
      </c>
      <c r="I40" s="100"/>
      <c r="J40" s="100"/>
      <c r="K40" s="100"/>
      <c r="L40" s="100"/>
      <c r="M40" s="100"/>
      <c r="N40" s="100"/>
      <c r="O40" s="100"/>
      <c r="P40" s="100"/>
      <c r="Q40" s="101"/>
      <c r="R40" s="36"/>
      <c r="S40" s="99" t="s">
        <v>64</v>
      </c>
      <c r="T40" s="100"/>
      <c r="U40" s="100"/>
      <c r="V40" s="100"/>
      <c r="W40" s="100"/>
      <c r="X40" s="100"/>
      <c r="Y40" s="100"/>
      <c r="Z40" s="100"/>
      <c r="AA40" s="100"/>
      <c r="AB40" s="101"/>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89"/>
      <c r="D41" s="90"/>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7" t="s">
        <v>232</v>
      </c>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row>
    <row r="45" spans="2:59" ht="10" customHeight="1" x14ac:dyDescent="0.2">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row>
    <row r="46" spans="2:59" ht="10" customHeight="1" x14ac:dyDescent="0.2">
      <c r="AT46" s="36"/>
      <c r="AU46" s="36"/>
      <c r="AV46" s="36"/>
      <c r="AW46" s="36"/>
    </row>
    <row r="47" spans="2:59" ht="10" customHeight="1" x14ac:dyDescent="0.2">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W9:Z11"/>
    <mergeCell ref="R9:U11"/>
    <mergeCell ref="M9:P11"/>
    <mergeCell ref="AE16:AW16"/>
    <mergeCell ref="H40:Q40"/>
    <mergeCell ref="AE22:AW23"/>
    <mergeCell ref="AB9:AE11"/>
    <mergeCell ref="AG9:AJ11"/>
    <mergeCell ref="AE32:AW33"/>
    <mergeCell ref="AE35:AW35"/>
    <mergeCell ref="AE36:AW36"/>
    <mergeCell ref="AE37:AW37"/>
    <mergeCell ref="AE38:AW38"/>
    <mergeCell ref="AE39:AW39"/>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L20" sqref="L20"/>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1" t="s">
        <v>73</v>
      </c>
      <c r="J1" s="121"/>
      <c r="K1" s="121"/>
      <c r="L1" s="121"/>
      <c r="M1" s="121"/>
      <c r="N1" s="121"/>
      <c r="O1" s="11"/>
    </row>
    <row r="2" spans="1:19" x14ac:dyDescent="0.25">
      <c r="A2" s="12" t="s">
        <v>135</v>
      </c>
      <c r="B2" s="119" t="s">
        <v>275</v>
      </c>
      <c r="C2" s="120"/>
      <c r="E2" s="2"/>
      <c r="F2" s="2"/>
      <c r="G2" s="2"/>
      <c r="I2" s="121"/>
      <c r="J2" s="121"/>
      <c r="K2" s="121"/>
      <c r="L2" s="121"/>
      <c r="M2" s="121"/>
      <c r="N2" s="121"/>
      <c r="O2" s="11"/>
      <c r="Q2" s="1" t="s">
        <v>136</v>
      </c>
      <c r="R2" s="1" t="s">
        <v>52</v>
      </c>
      <c r="S2" s="1" t="s">
        <v>137</v>
      </c>
    </row>
    <row r="3" spans="1:19" x14ac:dyDescent="0.25">
      <c r="A3" s="13" t="s">
        <v>58</v>
      </c>
      <c r="B3" s="122">
        <f>VLOOKUP(TOTAL_XP,XP_LEVEL,2,TRUE)</f>
        <v>0</v>
      </c>
      <c r="C3" s="123"/>
      <c r="D3" s="7"/>
      <c r="E3" s="2"/>
      <c r="F3" s="2"/>
      <c r="G3" s="2"/>
      <c r="I3" s="14" t="s">
        <v>59</v>
      </c>
      <c r="J3" s="14" t="s">
        <v>60</v>
      </c>
      <c r="K3" s="14" t="s">
        <v>52</v>
      </c>
      <c r="L3" s="14" t="s">
        <v>49</v>
      </c>
      <c r="Q3" s="17"/>
      <c r="R3" s="10">
        <v>0</v>
      </c>
    </row>
    <row r="4" spans="1:19" x14ac:dyDescent="0.25">
      <c r="A4" s="12" t="s">
        <v>59</v>
      </c>
      <c r="B4" s="119" t="s">
        <v>138</v>
      </c>
      <c r="C4" s="120"/>
      <c r="E4" s="2"/>
      <c r="F4" s="2"/>
      <c r="G4" s="2"/>
      <c r="I4" s="6">
        <f>VLOOKUP(RACE,RACES,8,FALSE)</f>
        <v>0</v>
      </c>
      <c r="J4" s="6">
        <f>VLOOKUP(PROFESSION,PROFESSIONS,8,FALSE)</f>
        <v>0</v>
      </c>
      <c r="K4" s="6">
        <f>TOTAL_XP_EARNED</f>
        <v>0</v>
      </c>
      <c r="L4" s="6">
        <f>SUM(I4:K4)</f>
        <v>0</v>
      </c>
      <c r="Q4" s="17"/>
      <c r="R4" s="10"/>
    </row>
    <row r="5" spans="1:19" x14ac:dyDescent="0.25">
      <c r="A5" s="13" t="s">
        <v>53</v>
      </c>
      <c r="B5" s="122" t="s">
        <v>138</v>
      </c>
      <c r="C5" s="123"/>
      <c r="E5" s="2"/>
      <c r="F5" s="2"/>
      <c r="G5" s="2"/>
      <c r="Q5" s="17"/>
      <c r="R5" s="10"/>
    </row>
    <row r="6" spans="1:19" x14ac:dyDescent="0.25">
      <c r="A6" s="12" t="s">
        <v>69</v>
      </c>
      <c r="B6" s="119">
        <f>SUM(D6:E6)</f>
        <v>0</v>
      </c>
      <c r="C6" s="120"/>
      <c r="D6" s="2">
        <f>VLOOKUP(TOTAL_XP,XP_LEVEL,3,TRUE)</f>
        <v>0</v>
      </c>
      <c r="E6" s="2">
        <f>FEAT_EXPT</f>
        <v>0</v>
      </c>
      <c r="F6" s="2"/>
      <c r="G6" s="2"/>
      <c r="I6" s="14" t="s">
        <v>61</v>
      </c>
      <c r="J6" s="14" t="s">
        <v>62</v>
      </c>
      <c r="K6" s="14" t="s">
        <v>63</v>
      </c>
      <c r="L6" s="14" t="s">
        <v>65</v>
      </c>
      <c r="M6" s="14" t="s">
        <v>66</v>
      </c>
      <c r="N6" s="14" t="s">
        <v>232</v>
      </c>
      <c r="O6" s="14" t="s">
        <v>49</v>
      </c>
      <c r="Q6" s="17"/>
      <c r="R6" s="10"/>
    </row>
    <row r="7" spans="1:19" x14ac:dyDescent="0.25">
      <c r="A7" s="13" t="s">
        <v>101</v>
      </c>
      <c r="B7" s="122">
        <f>SUM(D7,F7) * IF(CHARACTER_LEVEL &gt; 0, CHARACTER_LEVEL, 1)</f>
        <v>5</v>
      </c>
      <c r="C7" s="123"/>
      <c r="D7" s="2">
        <f>STR * E7 + AGI + INU + CHA + PER</f>
        <v>5</v>
      </c>
      <c r="E7" s="2">
        <f>VLOOKUP(PROFESSION,PROFESSIONS,7,FALSE)</f>
        <v>1</v>
      </c>
      <c r="F7" s="2">
        <f>STAMINA</f>
        <v>0</v>
      </c>
      <c r="G7" s="2"/>
      <c r="I7" s="6">
        <f>Table1[[#Totals],[Code]]</f>
        <v>0</v>
      </c>
      <c r="J7" s="6">
        <f>Table2[[#Totals],[Statistic]]</f>
        <v>0</v>
      </c>
      <c r="K7" s="6">
        <f>FEAT_XP</f>
        <v>0</v>
      </c>
      <c r="L7" s="6">
        <f>RESISTANCES_XP</f>
        <v>4</v>
      </c>
      <c r="M7" s="6">
        <v>0</v>
      </c>
      <c r="N7" s="6">
        <f>SPELL_XP</f>
        <v>0</v>
      </c>
      <c r="O7" s="6">
        <f>SUM(I7:N7)</f>
        <v>4</v>
      </c>
      <c r="Q7" s="17"/>
      <c r="R7" s="10"/>
    </row>
    <row r="8" spans="1:19" x14ac:dyDescent="0.25">
      <c r="A8" s="12" t="s">
        <v>118</v>
      </c>
      <c r="B8" s="119">
        <f>SUM(D8:E8)</f>
        <v>10</v>
      </c>
      <c r="C8" s="120"/>
      <c r="D8" s="2">
        <v>10</v>
      </c>
      <c r="E8" s="2">
        <f>FEAT_MOVEMENT</f>
        <v>0</v>
      </c>
      <c r="F8" s="2"/>
      <c r="G8" s="2"/>
      <c r="Q8" s="17"/>
      <c r="R8" s="10"/>
    </row>
    <row r="9" spans="1:19" x14ac:dyDescent="0.25">
      <c r="A9" s="13" t="s">
        <v>121</v>
      </c>
      <c r="B9" s="122">
        <f>FEAT_ARMOR</f>
        <v>0</v>
      </c>
      <c r="C9" s="123"/>
      <c r="E9" s="2"/>
      <c r="F9" s="2"/>
      <c r="G9" s="2"/>
      <c r="I9" s="15" t="s">
        <v>74</v>
      </c>
      <c r="K9" s="16">
        <f>L4-O7</f>
        <v>-4</v>
      </c>
      <c r="Q9" s="17"/>
      <c r="R9" s="10"/>
    </row>
    <row r="10" spans="1:19" x14ac:dyDescent="0.25">
      <c r="A10" s="12" t="s">
        <v>122</v>
      </c>
      <c r="B10" s="119">
        <f>FEAT_AURA</f>
        <v>0</v>
      </c>
      <c r="C10" s="120"/>
      <c r="E10" s="2"/>
      <c r="F10" s="2"/>
      <c r="G10" s="2"/>
      <c r="Q10" s="17"/>
      <c r="R10" s="10"/>
    </row>
    <row r="11" spans="1:19" x14ac:dyDescent="0.25">
      <c r="A11" s="13" t="s">
        <v>206</v>
      </c>
      <c r="B11" s="122">
        <f>D11+E11</f>
        <v>20</v>
      </c>
      <c r="C11" s="123"/>
      <c r="D11" s="2">
        <v>20</v>
      </c>
      <c r="E11" s="2" t="str">
        <f>FEAT_INI</f>
        <v>0</v>
      </c>
      <c r="F11" s="2"/>
      <c r="G11" s="2"/>
      <c r="Q11" s="17"/>
      <c r="R11" s="10"/>
    </row>
    <row r="12" spans="1:19" x14ac:dyDescent="0.25">
      <c r="A12" s="12" t="s">
        <v>207</v>
      </c>
      <c r="B12" s="119">
        <f>D12+E12</f>
        <v>3</v>
      </c>
      <c r="C12" s="120"/>
      <c r="D12" s="2">
        <v>3</v>
      </c>
      <c r="E12" s="2">
        <f>FEAT_AP</f>
        <v>0</v>
      </c>
      <c r="F12" s="2"/>
      <c r="G12" s="2"/>
      <c r="Q12" s="17"/>
      <c r="R12" s="10"/>
    </row>
    <row r="13" spans="1:19" x14ac:dyDescent="0.25">
      <c r="A13" s="13"/>
      <c r="B13" s="122"/>
      <c r="C13" s="123"/>
      <c r="E13" s="2"/>
      <c r="F13" s="2"/>
      <c r="G13" s="2"/>
      <c r="Q13" s="17"/>
      <c r="R13" s="10"/>
    </row>
    <row r="14" spans="1:19" x14ac:dyDescent="0.25">
      <c r="A14" s="12"/>
      <c r="B14" s="119"/>
      <c r="C14" s="120"/>
      <c r="E14" s="2"/>
      <c r="F14" s="2"/>
      <c r="G14" s="2"/>
      <c r="Q14" s="17"/>
      <c r="R14" s="10"/>
    </row>
    <row r="15" spans="1:19" x14ac:dyDescent="0.25">
      <c r="A15" s="13"/>
      <c r="B15" s="122"/>
      <c r="C15" s="123"/>
      <c r="E15" s="2"/>
      <c r="F15" s="2"/>
      <c r="G15" s="2"/>
      <c r="Q15" s="17"/>
      <c r="R15" s="10"/>
    </row>
    <row r="16" spans="1:19" x14ac:dyDescent="0.25">
      <c r="A16" s="12"/>
      <c r="B16" s="119"/>
      <c r="C16" s="120"/>
      <c r="E16" s="2"/>
      <c r="F16" s="2"/>
      <c r="G16" s="2"/>
      <c r="Q16" s="17"/>
      <c r="R16" s="10"/>
    </row>
    <row r="17" spans="1:18" x14ac:dyDescent="0.25">
      <c r="A17" s="13"/>
      <c r="B17" s="122"/>
      <c r="C17" s="123"/>
      <c r="E17" s="2"/>
      <c r="F17" s="2"/>
      <c r="G17" s="2"/>
      <c r="Q17" s="17"/>
      <c r="R17" s="10"/>
    </row>
    <row r="18" spans="1:18" x14ac:dyDescent="0.25">
      <c r="A18" s="12"/>
      <c r="B18" s="119"/>
      <c r="C18" s="120"/>
      <c r="E18" s="2"/>
      <c r="F18" s="2"/>
      <c r="G18" s="2"/>
      <c r="Q18" s="17"/>
      <c r="R18" s="10"/>
    </row>
    <row r="19" spans="1:18" x14ac:dyDescent="0.25">
      <c r="A19" s="13"/>
      <c r="B19" s="122"/>
      <c r="C19" s="123"/>
      <c r="E19" s="2"/>
      <c r="F19" s="2"/>
      <c r="G19" s="2"/>
      <c r="Q19" s="17"/>
      <c r="R19" s="10"/>
    </row>
    <row r="20" spans="1:18" x14ac:dyDescent="0.25">
      <c r="A20" s="12"/>
      <c r="B20" s="119"/>
      <c r="C20" s="120"/>
      <c r="E20" s="2"/>
      <c r="F20" s="2"/>
      <c r="G20" s="2"/>
      <c r="Q20" s="17"/>
      <c r="R20" s="10"/>
    </row>
    <row r="21" spans="1:18" x14ac:dyDescent="0.25">
      <c r="A21" s="13"/>
      <c r="B21" s="122"/>
      <c r="C21" s="123"/>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F36" sqref="F36"/>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0</v>
      </c>
      <c r="C35" s="2">
        <f>COUNTIF(Table2[Bought],"Yes") * 2</f>
        <v>0</v>
      </c>
      <c r="D35" s="2">
        <f>COUNTIF(Table2[Skilled],"Yes") * 3</f>
        <v>0</v>
      </c>
      <c r="E35" s="2">
        <f>COUNTIF(Table2[Professional],"Yes") * 4</f>
        <v>0</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I24" sqref="I2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28</v>
      </c>
      <c r="D2" s="2" t="s">
        <v>29</v>
      </c>
      <c r="E2" s="2" t="s">
        <v>29</v>
      </c>
      <c r="F2" s="2" t="s">
        <v>29</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A11" s="1" t="s">
        <v>228</v>
      </c>
      <c r="B11" s="2" t="s">
        <v>38</v>
      </c>
      <c r="C11" s="2" t="s">
        <v>28</v>
      </c>
      <c r="D11" s="2" t="s">
        <v>29</v>
      </c>
      <c r="E11" s="2" t="s">
        <v>29</v>
      </c>
      <c r="F11" s="2" t="s">
        <v>29</v>
      </c>
      <c r="G11" s="4" t="str">
        <f t="shared" si="1"/>
        <v>1d20</v>
      </c>
      <c r="H11" s="7">
        <f>IF(Table217[[#This Row],[Skilled]] = "YES",VLOOKUP(Table217[[#This Row],[Statistic]],Table1[[Code]:[STAT]],13,FALSE), 0)</f>
        <v>0</v>
      </c>
      <c r="I11" s="7">
        <f>IF(Table217[[#This Row],[Professional]]="Yes",LVL,0)</f>
        <v>0</v>
      </c>
      <c r="J11" s="2">
        <v>0</v>
      </c>
      <c r="K11" s="69"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4</v>
      </c>
      <c r="C17" s="2">
        <f>COUNTIF(Table217[Bought],"Yes") * 2</f>
        <v>4</v>
      </c>
      <c r="D17" s="2">
        <f>COUNTIF(Table217[Skilled],"Yes") * 3</f>
        <v>0</v>
      </c>
      <c r="E17" s="2">
        <f>COUNTIF(Table217[Professional],"Yes") * 4</f>
        <v>0</v>
      </c>
      <c r="F17" s="2">
        <f>COUNTIF(Table217[Skilled],"Yes") * 5</f>
        <v>0</v>
      </c>
      <c r="G17" s="4"/>
    </row>
  </sheetData>
  <conditionalFormatting sqref="C2:F16">
    <cfRule type="containsText" dxfId="220" priority="4" operator="containsText" text="No">
      <formula>NOT(ISERROR(SEARCH("No",C2)))</formula>
    </cfRule>
  </conditionalFormatting>
  <conditionalFormatting sqref="H2:K16">
    <cfRule type="cellIs" dxfId="21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30" sqref="G30"/>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0</v>
      </c>
      <c r="C2" s="2">
        <f>WEAPON_DMG</f>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f>WEAPON_CRITDMG</f>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f>WEAPON_MOVEMENT</f>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211</v>
      </c>
    </row>
    <row r="10" spans="1:24" x14ac:dyDescent="0.25">
      <c r="A10" s="1" t="s">
        <v>120</v>
      </c>
      <c r="B10" s="2">
        <v>0</v>
      </c>
      <c r="C10" s="2">
        <f>WEAPON_EXTRAATTACK</f>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f>WEAPON_INI</f>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C34" sqref="C34"/>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63</v>
      </c>
      <c r="D1" s="124"/>
      <c r="E1" s="124"/>
      <c r="F1" s="124"/>
      <c r="G1" s="124"/>
      <c r="H1" s="124"/>
      <c r="I1" s="124"/>
      <c r="J1" s="124"/>
      <c r="K1" s="124"/>
      <c r="L1" s="124"/>
      <c r="M1" s="124"/>
      <c r="N1" s="124"/>
      <c r="O1" s="124"/>
      <c r="P1" s="124"/>
      <c r="Q1" s="124" t="s">
        <v>185</v>
      </c>
      <c r="R1" s="124"/>
      <c r="S1" s="124"/>
      <c r="T1" s="124"/>
      <c r="U1" s="124"/>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82">
        <v>0</v>
      </c>
      <c r="F4" s="82">
        <v>0</v>
      </c>
      <c r="G4" s="82">
        <v>0</v>
      </c>
      <c r="H4" s="82">
        <v>0</v>
      </c>
      <c r="I4" s="82">
        <v>0</v>
      </c>
      <c r="J4" s="82">
        <v>0</v>
      </c>
      <c r="K4" s="82">
        <v>0</v>
      </c>
      <c r="L4" s="82">
        <v>0</v>
      </c>
      <c r="M4" s="82">
        <v>0</v>
      </c>
      <c r="N4" s="82">
        <v>0</v>
      </c>
      <c r="O4" s="82">
        <v>0</v>
      </c>
      <c r="P4" s="82">
        <v>0</v>
      </c>
      <c r="Q4" s="25">
        <v>0</v>
      </c>
      <c r="R4" s="2">
        <v>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2"/>
      <c r="D22" s="82">
        <f>SUMIF(Table12[Enabled],"Yes",Table12[DMG])</f>
        <v>0</v>
      </c>
      <c r="E22" s="82">
        <f>SUMIF(Table12[Enabled],"Yes",Table12[Stamina])</f>
        <v>0</v>
      </c>
      <c r="F22" s="82">
        <f>SUMIF(Table12[Enabled],"Yes",Table12[Stamina])</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0</v>
      </c>
      <c r="L22" s="82">
        <f>SUMIF(Table12[Enabled],"Yes",Table12[Extra 
Attack])</f>
        <v>0</v>
      </c>
      <c r="M22" s="82">
        <f>SUMIF(Table12[Enabled],"Yes",Table12[Armor])</f>
        <v>0</v>
      </c>
      <c r="N22" s="82">
        <f>SUMIF(Table12[Enabled],"Yes",Table12[Aura])</f>
        <v>0</v>
      </c>
      <c r="O22" s="82">
        <f>SUMIF(Table12[Enabled],"Yes",Table12[Directed Strike])</f>
        <v>0</v>
      </c>
      <c r="P22" s="82">
        <f>SUMIF(Table12[Enabled],"Yes",Table12[INI])</f>
        <v>0</v>
      </c>
      <c r="Q22" s="25">
        <f>SUMIF(Table12[Enabled],"Yes",Table12[STR])</f>
        <v>0</v>
      </c>
      <c r="R22" s="82">
        <f>SUMIF(Table12[Enabled],"Yes",Table12[AGI])</f>
        <v>0</v>
      </c>
      <c r="S22" s="82">
        <f>SUMIF(Table12[Enabled],"Yes",Table12[INU])</f>
        <v>0</v>
      </c>
      <c r="T22" s="82">
        <f>SUMIF(Table12[Enabled],"Yes",Table12[CHA])</f>
        <v>0</v>
      </c>
      <c r="U22" s="82">
        <f>SUMIF(Table12[Enabled],"Yes",Table12[PER])</f>
        <v>0</v>
      </c>
      <c r="V22" s="82"/>
    </row>
    <row r="24" spans="1:22" x14ac:dyDescent="0.25">
      <c r="B24" s="1" t="s">
        <v>164</v>
      </c>
      <c r="C24" s="2" t="s">
        <v>121</v>
      </c>
      <c r="D24" s="2" t="s">
        <v>160</v>
      </c>
      <c r="E24" s="2" t="s">
        <v>180</v>
      </c>
      <c r="F24" s="2" t="s">
        <v>21</v>
      </c>
    </row>
    <row r="25" spans="1:22" x14ac:dyDescent="0.25">
      <c r="A25" s="1" t="s">
        <v>121</v>
      </c>
      <c r="B25" s="1" t="s">
        <v>161</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2" t="s">
        <v>208</v>
      </c>
      <c r="B27" s="72"/>
      <c r="C27" s="73">
        <f>SUM(C25:C26)</f>
        <v>0</v>
      </c>
      <c r="D27" s="73">
        <f>SUM(D25:D26)</f>
        <v>0</v>
      </c>
      <c r="E27" s="73">
        <f>SUM(E25:E26)</f>
        <v>0</v>
      </c>
      <c r="F27" s="73">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I28" sqref="I28"/>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106</v>
      </c>
      <c r="D1" s="124"/>
      <c r="E1" s="124"/>
      <c r="F1" s="124" t="s">
        <v>63</v>
      </c>
      <c r="G1" s="124"/>
      <c r="H1" s="124"/>
      <c r="I1" s="124"/>
      <c r="J1" s="124"/>
      <c r="K1" s="124"/>
      <c r="L1" s="124"/>
      <c r="M1" s="124"/>
      <c r="N1" s="124"/>
      <c r="O1" s="124"/>
      <c r="P1" s="124"/>
      <c r="Q1" s="124"/>
      <c r="R1" s="124"/>
      <c r="S1" s="124" t="s">
        <v>185</v>
      </c>
      <c r="T1" s="124"/>
      <c r="U1" s="124"/>
      <c r="V1" s="124"/>
      <c r="W1" s="124"/>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273</v>
      </c>
      <c r="B3" s="2" t="s">
        <v>28</v>
      </c>
      <c r="C3" s="2" t="s">
        <v>203</v>
      </c>
      <c r="D3" s="4">
        <v>2</v>
      </c>
      <c r="E3" s="2">
        <v>12</v>
      </c>
      <c r="F3" s="2">
        <v>2</v>
      </c>
      <c r="G3" s="2">
        <v>18</v>
      </c>
      <c r="H3" s="4">
        <v>0</v>
      </c>
      <c r="I3" s="2">
        <v>0</v>
      </c>
      <c r="J3" s="2">
        <v>0</v>
      </c>
      <c r="K3" s="2">
        <v>0</v>
      </c>
      <c r="L3" s="2">
        <v>0</v>
      </c>
      <c r="M3" s="2">
        <v>0</v>
      </c>
      <c r="N3" s="2">
        <v>0</v>
      </c>
      <c r="O3" s="2">
        <v>0</v>
      </c>
      <c r="P3" s="2">
        <v>0</v>
      </c>
      <c r="Q3" s="2">
        <v>0</v>
      </c>
      <c r="R3" s="2">
        <v>0</v>
      </c>
      <c r="S3" s="2">
        <v>0</v>
      </c>
      <c r="T3" s="80">
        <v>0</v>
      </c>
      <c r="U3" s="2">
        <v>0</v>
      </c>
      <c r="V3" s="25">
        <v>0</v>
      </c>
      <c r="W3" s="2">
        <v>0</v>
      </c>
      <c r="X3" s="2">
        <v>0</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2d12+2+1+0  INI:18</v>
      </c>
      <c r="AC3" s="1" t="s">
        <v>274</v>
      </c>
    </row>
    <row r="4" spans="1:29" x14ac:dyDescent="0.25">
      <c r="A4" s="1" t="s">
        <v>218</v>
      </c>
      <c r="B4" s="2" t="s">
        <v>29</v>
      </c>
      <c r="C4" s="2" t="s">
        <v>203</v>
      </c>
      <c r="D4" s="4">
        <v>1</v>
      </c>
      <c r="E4" s="2">
        <v>12</v>
      </c>
      <c r="F4" s="2">
        <v>1</v>
      </c>
      <c r="G4" s="2">
        <v>18</v>
      </c>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1d12+1+1+0  INI:18</v>
      </c>
    </row>
    <row r="5" spans="1:29" x14ac:dyDescent="0.25">
      <c r="A5" s="1" t="s">
        <v>222</v>
      </c>
      <c r="B5" s="2" t="s">
        <v>29</v>
      </c>
      <c r="C5" s="2" t="s">
        <v>203</v>
      </c>
      <c r="D5" s="4">
        <v>1</v>
      </c>
      <c r="E5" s="2">
        <v>12</v>
      </c>
      <c r="F5" s="2">
        <v>0</v>
      </c>
      <c r="G5" s="2">
        <v>16</v>
      </c>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1d12+0+1+0  INI:16</v>
      </c>
    </row>
    <row r="6" spans="1:29" x14ac:dyDescent="0.25">
      <c r="A6" s="1" t="s">
        <v>221</v>
      </c>
      <c r="B6" s="2" t="s">
        <v>29</v>
      </c>
      <c r="C6" s="2" t="s">
        <v>203</v>
      </c>
      <c r="D6" s="4">
        <v>1</v>
      </c>
      <c r="E6" s="2">
        <v>8</v>
      </c>
      <c r="F6" s="2">
        <v>0</v>
      </c>
      <c r="G6" s="2">
        <v>14</v>
      </c>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1d8+0+1+0  INI:14</v>
      </c>
    </row>
    <row r="7" spans="1:29" x14ac:dyDescent="0.25">
      <c r="A7" s="1" t="s">
        <v>219</v>
      </c>
      <c r="B7" s="2" t="s">
        <v>29</v>
      </c>
      <c r="C7" s="2" t="s">
        <v>203</v>
      </c>
      <c r="D7" s="4">
        <v>1</v>
      </c>
      <c r="E7" s="2">
        <v>6</v>
      </c>
      <c r="F7" s="2">
        <v>0</v>
      </c>
      <c r="G7" s="2">
        <v>10</v>
      </c>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1d6+0+1+0  INI:10</v>
      </c>
    </row>
    <row r="8" spans="1:29" x14ac:dyDescent="0.25">
      <c r="A8" s="1" t="s">
        <v>220</v>
      </c>
      <c r="B8" s="2" t="s">
        <v>29</v>
      </c>
      <c r="C8" s="2" t="s">
        <v>203</v>
      </c>
      <c r="D8" s="4">
        <v>2</v>
      </c>
      <c r="E8" s="2">
        <v>6</v>
      </c>
      <c r="F8" s="2">
        <v>0</v>
      </c>
      <c r="G8" s="2">
        <v>18</v>
      </c>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2d6+0+1+0  INI:18</v>
      </c>
    </row>
    <row r="9" spans="1:29" x14ac:dyDescent="0.25">
      <c r="A9" s="1" t="s">
        <v>223</v>
      </c>
      <c r="B9" s="2" t="s">
        <v>29</v>
      </c>
      <c r="C9" s="2" t="s">
        <v>204</v>
      </c>
      <c r="D9" s="4">
        <v>1</v>
      </c>
      <c r="E9" s="2">
        <v>8</v>
      </c>
      <c r="F9" s="2">
        <v>0</v>
      </c>
      <c r="G9" s="2">
        <v>16</v>
      </c>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1d8+0+1+0  INI:16</v>
      </c>
    </row>
    <row r="10" spans="1:29" x14ac:dyDescent="0.25">
      <c r="A10" s="1" t="s">
        <v>224</v>
      </c>
      <c r="B10" s="2" t="s">
        <v>29</v>
      </c>
      <c r="C10" s="2" t="s">
        <v>204</v>
      </c>
      <c r="D10" s="4">
        <v>1</v>
      </c>
      <c r="E10" s="2">
        <v>4</v>
      </c>
      <c r="F10" s="2">
        <v>0</v>
      </c>
      <c r="G10" s="2">
        <v>12</v>
      </c>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1d4+0+1+0  INI:12</v>
      </c>
    </row>
    <row r="11" spans="1:29" x14ac:dyDescent="0.25">
      <c r="A11" s="1" t="s">
        <v>225</v>
      </c>
      <c r="B11" s="2" t="s">
        <v>29</v>
      </c>
      <c r="C11" s="2" t="s">
        <v>205</v>
      </c>
      <c r="D11" s="4">
        <v>1</v>
      </c>
      <c r="E11" s="2">
        <v>4</v>
      </c>
      <c r="F11" s="2">
        <v>0</v>
      </c>
      <c r="G11" s="2">
        <v>10</v>
      </c>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1d4+0+1+0  INI:10</v>
      </c>
    </row>
    <row r="12" spans="1:29" x14ac:dyDescent="0.25">
      <c r="A12" s="1" t="s">
        <v>226</v>
      </c>
      <c r="B12" s="2" t="s">
        <v>29</v>
      </c>
      <c r="C12" s="2" t="s">
        <v>203</v>
      </c>
      <c r="D12" s="4">
        <v>1</v>
      </c>
      <c r="E12" s="2">
        <v>12</v>
      </c>
      <c r="F12" s="2">
        <v>1</v>
      </c>
      <c r="G12" s="2">
        <v>18</v>
      </c>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1d12+1+1+0  INI:18</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0</v>
      </c>
      <c r="I22" s="80">
        <f>SUMIF(Table1218[Enabled],"Yes",Table1218[Stamina])</f>
        <v>0</v>
      </c>
      <c r="J22" s="80">
        <f>SUMIF(Table1218[Enabled],"Yes",Table1218[Crit])</f>
        <v>0</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0</v>
      </c>
      <c r="Q22" s="80">
        <f>SUMIF(Table1218[Enabled],"Yes",Table1218[Armor])</f>
        <v>0</v>
      </c>
      <c r="R22" s="80">
        <f>SUMIF(Table1218[Enabled],"Yes",Table1218[Aura])</f>
        <v>0</v>
      </c>
      <c r="S22" s="80">
        <f>SUMIF(Table1218[Enabled],"Yes",Table1218[Directed Strike])</f>
        <v>0</v>
      </c>
      <c r="T22" s="80">
        <f>SUMIF(Table1218[Enabled],"Yes",Table1218[AP])</f>
        <v>0</v>
      </c>
      <c r="U22" s="80">
        <f>SUMIF(Table1218[Enabled],"Yes",Table1218[INI2])</f>
        <v>0</v>
      </c>
      <c r="V22" s="25">
        <f>SUMIF(Table1218[Enabled],"Yes",Table1218[STR])</f>
        <v>0</v>
      </c>
      <c r="W22" s="80">
        <f>SUMIF(Table1218[Enabled],"Yes",Table1218[AGI])</f>
        <v>0</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78" t="s">
        <v>227</v>
      </c>
      <c r="B2" s="78" t="s">
        <v>228</v>
      </c>
      <c r="C2" s="79">
        <v>1</v>
      </c>
      <c r="D2" s="79">
        <v>1</v>
      </c>
      <c r="E2" s="79" t="s">
        <v>29</v>
      </c>
      <c r="F2" s="79">
        <v>2</v>
      </c>
      <c r="G2" s="77" t="s">
        <v>231</v>
      </c>
    </row>
    <row r="3" spans="1:7" ht="17" x14ac:dyDescent="0.2">
      <c r="A3" s="78" t="s">
        <v>229</v>
      </c>
      <c r="B3" s="78" t="s">
        <v>228</v>
      </c>
      <c r="C3" s="79">
        <v>1</v>
      </c>
      <c r="D3" s="79">
        <v>1</v>
      </c>
      <c r="E3" s="79" t="s">
        <v>29</v>
      </c>
      <c r="F3" s="79">
        <v>2</v>
      </c>
      <c r="G3" s="77" t="s">
        <v>230</v>
      </c>
    </row>
    <row r="4" spans="1:7" ht="34" x14ac:dyDescent="0.2">
      <c r="A4" s="78" t="s">
        <v>233</v>
      </c>
      <c r="B4" s="78" t="s">
        <v>228</v>
      </c>
      <c r="C4" s="79">
        <v>1</v>
      </c>
      <c r="D4" s="79">
        <v>1</v>
      </c>
      <c r="E4" s="79" t="s">
        <v>29</v>
      </c>
      <c r="F4" s="79">
        <v>0</v>
      </c>
      <c r="G4" s="77" t="s">
        <v>234</v>
      </c>
    </row>
    <row r="5" spans="1:7" ht="17" x14ac:dyDescent="0.2">
      <c r="A5" s="78" t="s">
        <v>233</v>
      </c>
      <c r="B5" s="78" t="s">
        <v>228</v>
      </c>
      <c r="C5" s="79">
        <v>2</v>
      </c>
      <c r="D5" s="79">
        <v>2</v>
      </c>
      <c r="E5" s="79" t="s">
        <v>29</v>
      </c>
      <c r="F5" s="79">
        <v>3</v>
      </c>
      <c r="G5" s="77" t="s">
        <v>333</v>
      </c>
    </row>
    <row r="6" spans="1:7" ht="17" x14ac:dyDescent="0.2">
      <c r="A6" s="78" t="s">
        <v>233</v>
      </c>
      <c r="B6" s="78" t="s">
        <v>228</v>
      </c>
      <c r="C6" s="79">
        <v>3</v>
      </c>
      <c r="D6" s="79">
        <v>3</v>
      </c>
      <c r="E6" s="79" t="s">
        <v>29</v>
      </c>
      <c r="F6" s="79">
        <v>4</v>
      </c>
      <c r="G6" s="77" t="s">
        <v>334</v>
      </c>
    </row>
    <row r="7" spans="1:7" ht="17" x14ac:dyDescent="0.2">
      <c r="A7" s="78" t="s">
        <v>233</v>
      </c>
      <c r="B7" s="78" t="s">
        <v>228</v>
      </c>
      <c r="C7" s="79">
        <v>4</v>
      </c>
      <c r="D7" s="79">
        <v>5</v>
      </c>
      <c r="E7" s="79" t="s">
        <v>29</v>
      </c>
      <c r="F7" s="79">
        <v>5</v>
      </c>
      <c r="G7" s="77" t="s">
        <v>335</v>
      </c>
    </row>
    <row r="8" spans="1:7" ht="17" x14ac:dyDescent="0.2">
      <c r="A8" s="78" t="s">
        <v>235</v>
      </c>
      <c r="B8" s="78" t="s">
        <v>228</v>
      </c>
      <c r="C8" s="79">
        <v>1</v>
      </c>
      <c r="D8" s="79">
        <v>1</v>
      </c>
      <c r="E8" s="79" t="s">
        <v>29</v>
      </c>
      <c r="F8" s="79">
        <v>0</v>
      </c>
      <c r="G8" s="77" t="s">
        <v>236</v>
      </c>
    </row>
    <row r="9" spans="1:7" ht="17" x14ac:dyDescent="0.2">
      <c r="A9" s="78" t="s">
        <v>235</v>
      </c>
      <c r="B9" s="78" t="s">
        <v>228</v>
      </c>
      <c r="C9" s="79">
        <v>2</v>
      </c>
      <c r="D9" s="79">
        <v>3</v>
      </c>
      <c r="E9" s="79" t="s">
        <v>29</v>
      </c>
      <c r="F9" s="79">
        <v>3</v>
      </c>
      <c r="G9" s="77" t="s">
        <v>237</v>
      </c>
    </row>
    <row r="10" spans="1:7" ht="17" x14ac:dyDescent="0.2">
      <c r="A10" s="78" t="s">
        <v>235</v>
      </c>
      <c r="B10" s="78" t="s">
        <v>228</v>
      </c>
      <c r="C10" s="79">
        <v>3</v>
      </c>
      <c r="D10" s="79">
        <v>5</v>
      </c>
      <c r="E10" s="79" t="s">
        <v>29</v>
      </c>
      <c r="F10" s="79">
        <v>4</v>
      </c>
      <c r="G10" s="77" t="s">
        <v>238</v>
      </c>
    </row>
    <row r="11" spans="1:7" ht="17" x14ac:dyDescent="0.2">
      <c r="A11" s="78" t="s">
        <v>235</v>
      </c>
      <c r="B11" s="78" t="s">
        <v>228</v>
      </c>
      <c r="C11" s="79">
        <v>4</v>
      </c>
      <c r="D11" s="79">
        <v>7</v>
      </c>
      <c r="E11" s="79" t="s">
        <v>29</v>
      </c>
      <c r="F11" s="79">
        <v>5</v>
      </c>
      <c r="G11" s="77" t="s">
        <v>239</v>
      </c>
    </row>
    <row r="12" spans="1:7" ht="17" x14ac:dyDescent="0.2">
      <c r="A12" s="78" t="s">
        <v>235</v>
      </c>
      <c r="B12" s="78" t="s">
        <v>228</v>
      </c>
      <c r="C12" s="79">
        <v>5</v>
      </c>
      <c r="D12" s="79">
        <v>9</v>
      </c>
      <c r="E12" s="79" t="s">
        <v>29</v>
      </c>
      <c r="F12" s="79">
        <v>6</v>
      </c>
      <c r="G12" s="77" t="s">
        <v>240</v>
      </c>
    </row>
    <row r="13" spans="1:7" ht="17" x14ac:dyDescent="0.2">
      <c r="A13" s="78" t="s">
        <v>241</v>
      </c>
      <c r="B13" s="78" t="s">
        <v>228</v>
      </c>
      <c r="C13" s="79">
        <v>1</v>
      </c>
      <c r="D13" s="79">
        <v>1</v>
      </c>
      <c r="E13" s="79" t="s">
        <v>29</v>
      </c>
      <c r="F13" s="79">
        <v>2</v>
      </c>
      <c r="G13" s="77" t="s">
        <v>242</v>
      </c>
    </row>
    <row r="14" spans="1:7" ht="17" x14ac:dyDescent="0.2">
      <c r="A14" s="78" t="s">
        <v>241</v>
      </c>
      <c r="B14" s="78" t="s">
        <v>228</v>
      </c>
      <c r="C14" s="79">
        <v>2</v>
      </c>
      <c r="D14" s="79">
        <v>3</v>
      </c>
      <c r="E14" s="79" t="s">
        <v>29</v>
      </c>
      <c r="F14" s="79">
        <v>3</v>
      </c>
      <c r="G14" s="77" t="s">
        <v>243</v>
      </c>
    </row>
    <row r="15" spans="1:7" ht="17" x14ac:dyDescent="0.2">
      <c r="A15" s="78" t="s">
        <v>241</v>
      </c>
      <c r="B15" s="78" t="s">
        <v>228</v>
      </c>
      <c r="C15" s="79">
        <v>3</v>
      </c>
      <c r="D15" s="79">
        <v>4</v>
      </c>
      <c r="E15" s="79" t="s">
        <v>29</v>
      </c>
      <c r="F15" s="79">
        <v>4</v>
      </c>
      <c r="G15" s="77" t="s">
        <v>244</v>
      </c>
    </row>
    <row r="16" spans="1:7" ht="17" x14ac:dyDescent="0.2">
      <c r="A16" s="78" t="s">
        <v>241</v>
      </c>
      <c r="B16" s="78" t="s">
        <v>228</v>
      </c>
      <c r="C16" s="79">
        <v>4</v>
      </c>
      <c r="D16" s="79">
        <v>5</v>
      </c>
      <c r="E16" s="79" t="s">
        <v>29</v>
      </c>
      <c r="F16" s="79">
        <v>5</v>
      </c>
      <c r="G16" s="77" t="s">
        <v>245</v>
      </c>
    </row>
    <row r="17" spans="1:7" ht="17" x14ac:dyDescent="0.2">
      <c r="A17" s="78" t="s">
        <v>241</v>
      </c>
      <c r="B17" s="78" t="s">
        <v>228</v>
      </c>
      <c r="C17" s="79">
        <v>5</v>
      </c>
      <c r="D17" s="79">
        <v>8</v>
      </c>
      <c r="E17" s="79" t="s">
        <v>29</v>
      </c>
      <c r="F17" s="79">
        <v>6</v>
      </c>
      <c r="G17" s="77" t="s">
        <v>246</v>
      </c>
    </row>
    <row r="18" spans="1:7" ht="17" x14ac:dyDescent="0.2">
      <c r="A18" s="78" t="s">
        <v>247</v>
      </c>
      <c r="B18" s="78" t="s">
        <v>228</v>
      </c>
      <c r="C18" s="79">
        <v>1</v>
      </c>
      <c r="D18" s="79">
        <v>1</v>
      </c>
      <c r="E18" s="79" t="s">
        <v>29</v>
      </c>
      <c r="F18" s="79">
        <v>0</v>
      </c>
      <c r="G18" s="77" t="s">
        <v>248</v>
      </c>
    </row>
    <row r="19" spans="1:7" ht="17" x14ac:dyDescent="0.2">
      <c r="A19" s="78" t="s">
        <v>249</v>
      </c>
      <c r="B19" s="78" t="s">
        <v>228</v>
      </c>
      <c r="C19" s="79">
        <v>1</v>
      </c>
      <c r="D19" s="79">
        <v>1</v>
      </c>
      <c r="E19" s="79" t="s">
        <v>29</v>
      </c>
      <c r="F19" s="79">
        <v>0</v>
      </c>
      <c r="G19" s="77" t="s">
        <v>250</v>
      </c>
    </row>
    <row r="20" spans="1:7" ht="17" x14ac:dyDescent="0.2">
      <c r="A20" s="78" t="s">
        <v>249</v>
      </c>
      <c r="B20" s="78" t="s">
        <v>228</v>
      </c>
      <c r="C20" s="79">
        <v>2</v>
      </c>
      <c r="D20" s="79">
        <v>3</v>
      </c>
      <c r="E20" s="79" t="s">
        <v>29</v>
      </c>
      <c r="F20" s="79">
        <v>3</v>
      </c>
      <c r="G20" s="77" t="s">
        <v>251</v>
      </c>
    </row>
    <row r="21" spans="1:7" ht="17" x14ac:dyDescent="0.2">
      <c r="A21" s="78" t="s">
        <v>249</v>
      </c>
      <c r="B21" s="78" t="s">
        <v>228</v>
      </c>
      <c r="C21" s="79">
        <v>3</v>
      </c>
      <c r="D21" s="79">
        <v>4</v>
      </c>
      <c r="E21" s="79" t="s">
        <v>29</v>
      </c>
      <c r="F21" s="79">
        <v>4</v>
      </c>
      <c r="G21" s="77" t="s">
        <v>252</v>
      </c>
    </row>
    <row r="22" spans="1:7" ht="17" x14ac:dyDescent="0.2">
      <c r="A22" s="78" t="s">
        <v>249</v>
      </c>
      <c r="B22" s="78" t="s">
        <v>228</v>
      </c>
      <c r="C22" s="79">
        <v>4</v>
      </c>
      <c r="D22" s="79">
        <v>7</v>
      </c>
      <c r="E22" s="79" t="s">
        <v>29</v>
      </c>
      <c r="F22" s="79">
        <v>5</v>
      </c>
      <c r="G22" s="77" t="s">
        <v>253</v>
      </c>
    </row>
    <row r="23" spans="1:7" ht="17" x14ac:dyDescent="0.2">
      <c r="A23" s="78" t="s">
        <v>249</v>
      </c>
      <c r="B23" s="78" t="s">
        <v>228</v>
      </c>
      <c r="C23" s="79">
        <v>5</v>
      </c>
      <c r="D23" s="79">
        <v>9</v>
      </c>
      <c r="E23" s="79" t="s">
        <v>29</v>
      </c>
      <c r="F23" s="79">
        <v>6</v>
      </c>
      <c r="G23" s="77" t="s">
        <v>254</v>
      </c>
    </row>
    <row r="24" spans="1:7" ht="17" x14ac:dyDescent="0.2">
      <c r="A24" s="78" t="s">
        <v>255</v>
      </c>
      <c r="B24" s="78" t="s">
        <v>228</v>
      </c>
      <c r="C24" s="79">
        <v>1</v>
      </c>
      <c r="D24" s="79">
        <v>1</v>
      </c>
      <c r="E24" s="79" t="s">
        <v>29</v>
      </c>
      <c r="F24" s="79">
        <v>2</v>
      </c>
      <c r="G24" s="77" t="s">
        <v>336</v>
      </c>
    </row>
    <row r="25" spans="1:7" ht="17" x14ac:dyDescent="0.2">
      <c r="A25" s="78" t="s">
        <v>255</v>
      </c>
      <c r="B25" s="78" t="s">
        <v>228</v>
      </c>
      <c r="C25" s="79">
        <v>2</v>
      </c>
      <c r="D25" s="79">
        <v>5</v>
      </c>
      <c r="E25" s="79" t="s">
        <v>29</v>
      </c>
      <c r="F25" s="79">
        <v>3</v>
      </c>
      <c r="G25" s="77" t="s">
        <v>337</v>
      </c>
    </row>
    <row r="26" spans="1:7" ht="17" x14ac:dyDescent="0.2">
      <c r="A26" s="78" t="s">
        <v>255</v>
      </c>
      <c r="B26" s="78" t="s">
        <v>228</v>
      </c>
      <c r="C26" s="79">
        <v>3</v>
      </c>
      <c r="D26" s="79">
        <v>10</v>
      </c>
      <c r="E26" s="79" t="s">
        <v>29</v>
      </c>
      <c r="F26" s="79">
        <v>4</v>
      </c>
      <c r="G26" s="77" t="s">
        <v>338</v>
      </c>
    </row>
    <row r="27" spans="1:7" ht="17" x14ac:dyDescent="0.2">
      <c r="A27" s="78" t="s">
        <v>256</v>
      </c>
      <c r="B27" s="78" t="s">
        <v>228</v>
      </c>
      <c r="C27" s="79">
        <v>1</v>
      </c>
      <c r="D27" s="79">
        <v>1</v>
      </c>
      <c r="E27" s="79" t="s">
        <v>29</v>
      </c>
      <c r="F27" s="79">
        <v>0</v>
      </c>
      <c r="G27" s="77" t="s">
        <v>257</v>
      </c>
    </row>
    <row r="28" spans="1:7" ht="17" x14ac:dyDescent="0.2">
      <c r="A28" s="78" t="s">
        <v>256</v>
      </c>
      <c r="B28" s="78" t="s">
        <v>228</v>
      </c>
      <c r="C28" s="79">
        <v>2</v>
      </c>
      <c r="D28" s="79">
        <v>3</v>
      </c>
      <c r="E28" s="79" t="s">
        <v>29</v>
      </c>
      <c r="F28" s="79">
        <v>3</v>
      </c>
      <c r="G28" s="77" t="s">
        <v>258</v>
      </c>
    </row>
    <row r="29" spans="1:7" ht="17" x14ac:dyDescent="0.2">
      <c r="A29" s="78" t="s">
        <v>256</v>
      </c>
      <c r="B29" s="78" t="s">
        <v>228</v>
      </c>
      <c r="C29" s="79">
        <v>3</v>
      </c>
      <c r="D29" s="79">
        <v>5</v>
      </c>
      <c r="E29" s="79" t="s">
        <v>29</v>
      </c>
      <c r="F29" s="79">
        <v>4</v>
      </c>
      <c r="G29" s="77" t="s">
        <v>259</v>
      </c>
    </row>
    <row r="30" spans="1:7" ht="17" x14ac:dyDescent="0.2">
      <c r="A30" s="78" t="s">
        <v>256</v>
      </c>
      <c r="B30" s="78" t="s">
        <v>228</v>
      </c>
      <c r="C30" s="79">
        <v>4</v>
      </c>
      <c r="D30" s="79">
        <v>8</v>
      </c>
      <c r="E30" s="79" t="s">
        <v>29</v>
      </c>
      <c r="F30" s="79">
        <v>5</v>
      </c>
      <c r="G30" s="77" t="s">
        <v>260</v>
      </c>
    </row>
    <row r="31" spans="1:7" ht="17" x14ac:dyDescent="0.2">
      <c r="A31" s="78" t="s">
        <v>261</v>
      </c>
      <c r="B31" s="78" t="s">
        <v>228</v>
      </c>
      <c r="C31" s="79">
        <v>1</v>
      </c>
      <c r="D31" s="79">
        <v>1</v>
      </c>
      <c r="E31" s="79" t="s">
        <v>29</v>
      </c>
      <c r="F31" s="79">
        <v>2</v>
      </c>
      <c r="G31" s="77" t="s">
        <v>262</v>
      </c>
    </row>
    <row r="32" spans="1:7" ht="17" x14ac:dyDescent="0.2">
      <c r="A32" s="78" t="s">
        <v>263</v>
      </c>
      <c r="B32" s="78" t="s">
        <v>228</v>
      </c>
      <c r="C32" s="79">
        <v>1</v>
      </c>
      <c r="D32" s="79">
        <v>3</v>
      </c>
      <c r="E32" s="79" t="s">
        <v>29</v>
      </c>
      <c r="F32" s="79">
        <v>3</v>
      </c>
      <c r="G32" s="77" t="s">
        <v>264</v>
      </c>
    </row>
    <row r="33" spans="1:7" ht="17" x14ac:dyDescent="0.2">
      <c r="A33" s="78" t="s">
        <v>265</v>
      </c>
      <c r="B33" s="78" t="s">
        <v>228</v>
      </c>
      <c r="C33" s="79">
        <v>1</v>
      </c>
      <c r="D33" s="79">
        <v>1</v>
      </c>
      <c r="E33" s="79" t="s">
        <v>29</v>
      </c>
      <c r="F33" s="79">
        <v>3</v>
      </c>
      <c r="G33" s="77" t="s">
        <v>266</v>
      </c>
    </row>
    <row r="34" spans="1:7" ht="17" x14ac:dyDescent="0.2">
      <c r="A34" s="78" t="s">
        <v>267</v>
      </c>
      <c r="B34" s="78" t="s">
        <v>228</v>
      </c>
      <c r="C34" s="79">
        <v>1</v>
      </c>
      <c r="D34" s="79">
        <v>1</v>
      </c>
      <c r="E34" s="79" t="s">
        <v>29</v>
      </c>
      <c r="F34" s="79">
        <v>2</v>
      </c>
      <c r="G34" s="77" t="s">
        <v>268</v>
      </c>
    </row>
    <row r="35" spans="1:7" ht="17" x14ac:dyDescent="0.2">
      <c r="A35" s="78" t="s">
        <v>267</v>
      </c>
      <c r="B35" s="78" t="s">
        <v>228</v>
      </c>
      <c r="C35" s="79">
        <v>2</v>
      </c>
      <c r="D35" s="79">
        <v>3</v>
      </c>
      <c r="E35" s="79" t="s">
        <v>29</v>
      </c>
      <c r="F35" s="79">
        <v>3</v>
      </c>
      <c r="G35" s="77" t="s">
        <v>269</v>
      </c>
    </row>
    <row r="36" spans="1:7" ht="17" x14ac:dyDescent="0.2">
      <c r="A36" s="78" t="s">
        <v>267</v>
      </c>
      <c r="B36" s="78" t="s">
        <v>228</v>
      </c>
      <c r="C36" s="79">
        <v>3</v>
      </c>
      <c r="D36" s="79">
        <v>5</v>
      </c>
      <c r="E36" s="79" t="s">
        <v>29</v>
      </c>
      <c r="F36" s="79">
        <v>4</v>
      </c>
      <c r="G36" s="77" t="s">
        <v>270</v>
      </c>
    </row>
    <row r="37" spans="1:7" ht="17" x14ac:dyDescent="0.2">
      <c r="A37" s="78" t="s">
        <v>267</v>
      </c>
      <c r="B37" s="78" t="s">
        <v>228</v>
      </c>
      <c r="C37" s="79">
        <v>4</v>
      </c>
      <c r="D37" s="79">
        <v>7</v>
      </c>
      <c r="E37" s="79" t="s">
        <v>29</v>
      </c>
      <c r="F37" s="79">
        <v>5</v>
      </c>
      <c r="G37" s="77" t="s">
        <v>271</v>
      </c>
    </row>
    <row r="38" spans="1:7" ht="17" x14ac:dyDescent="0.2">
      <c r="A38" s="78" t="s">
        <v>267</v>
      </c>
      <c r="B38" s="78" t="s">
        <v>228</v>
      </c>
      <c r="C38" s="79">
        <v>5</v>
      </c>
      <c r="D38" s="79">
        <v>10</v>
      </c>
      <c r="E38" s="79" t="s">
        <v>29</v>
      </c>
      <c r="F38" s="79">
        <v>6</v>
      </c>
      <c r="G38" s="77" t="s">
        <v>272</v>
      </c>
    </row>
    <row r="39" spans="1:7" ht="17" x14ac:dyDescent="0.2">
      <c r="A39" s="78" t="s">
        <v>276</v>
      </c>
      <c r="B39" s="78" t="s">
        <v>277</v>
      </c>
      <c r="C39" s="79">
        <v>1</v>
      </c>
      <c r="D39" s="79">
        <v>1</v>
      </c>
      <c r="E39" s="79" t="s">
        <v>29</v>
      </c>
      <c r="F39" s="79">
        <v>2</v>
      </c>
      <c r="G39" s="77" t="s">
        <v>278</v>
      </c>
    </row>
    <row r="40" spans="1:7" ht="17" x14ac:dyDescent="0.2">
      <c r="A40" s="78" t="s">
        <v>276</v>
      </c>
      <c r="B40" s="78" t="s">
        <v>277</v>
      </c>
      <c r="C40" s="79">
        <v>2</v>
      </c>
      <c r="D40" s="79">
        <v>2</v>
      </c>
      <c r="E40" s="79" t="s">
        <v>29</v>
      </c>
      <c r="F40" s="79">
        <v>3</v>
      </c>
      <c r="G40" s="77" t="s">
        <v>279</v>
      </c>
    </row>
    <row r="41" spans="1:7" ht="17" x14ac:dyDescent="0.2">
      <c r="A41" s="78" t="s">
        <v>276</v>
      </c>
      <c r="B41" s="78" t="s">
        <v>277</v>
      </c>
      <c r="C41" s="79">
        <v>3</v>
      </c>
      <c r="D41" s="79">
        <v>4</v>
      </c>
      <c r="E41" s="79" t="s">
        <v>29</v>
      </c>
      <c r="F41" s="79">
        <v>4</v>
      </c>
      <c r="G41" s="77" t="s">
        <v>280</v>
      </c>
    </row>
    <row r="42" spans="1:7" ht="17" x14ac:dyDescent="0.2">
      <c r="A42" s="78" t="s">
        <v>276</v>
      </c>
      <c r="B42" s="78" t="s">
        <v>277</v>
      </c>
      <c r="C42" s="79">
        <v>4</v>
      </c>
      <c r="D42" s="79">
        <v>7</v>
      </c>
      <c r="E42" s="79" t="s">
        <v>29</v>
      </c>
      <c r="F42" s="79">
        <v>5</v>
      </c>
      <c r="G42" s="77" t="s">
        <v>281</v>
      </c>
    </row>
    <row r="43" spans="1:7" ht="17" x14ac:dyDescent="0.2">
      <c r="A43" s="78" t="s">
        <v>276</v>
      </c>
      <c r="B43" s="78" t="s">
        <v>277</v>
      </c>
      <c r="C43" s="79">
        <v>5</v>
      </c>
      <c r="D43" s="79">
        <v>10</v>
      </c>
      <c r="E43" s="79" t="s">
        <v>29</v>
      </c>
      <c r="F43" s="79">
        <v>6</v>
      </c>
      <c r="G43" s="77" t="s">
        <v>282</v>
      </c>
    </row>
    <row r="44" spans="1:7" ht="17" x14ac:dyDescent="0.2">
      <c r="A44" s="78" t="s">
        <v>283</v>
      </c>
      <c r="B44" s="78" t="s">
        <v>277</v>
      </c>
      <c r="C44" s="79">
        <v>1</v>
      </c>
      <c r="D44" s="79">
        <v>1</v>
      </c>
      <c r="E44" s="79" t="s">
        <v>29</v>
      </c>
      <c r="F44" s="79">
        <v>2</v>
      </c>
      <c r="G44" s="77" t="s">
        <v>284</v>
      </c>
    </row>
    <row r="45" spans="1:7" ht="17" x14ac:dyDescent="0.2">
      <c r="A45" s="78" t="s">
        <v>283</v>
      </c>
      <c r="B45" s="78" t="s">
        <v>277</v>
      </c>
      <c r="C45" s="79">
        <v>2</v>
      </c>
      <c r="D45" s="79">
        <v>3</v>
      </c>
      <c r="E45" s="79" t="s">
        <v>29</v>
      </c>
      <c r="F45" s="79">
        <v>3</v>
      </c>
      <c r="G45" s="77" t="s">
        <v>285</v>
      </c>
    </row>
    <row r="46" spans="1:7" ht="17" x14ac:dyDescent="0.2">
      <c r="A46" s="78" t="s">
        <v>283</v>
      </c>
      <c r="B46" s="78" t="s">
        <v>277</v>
      </c>
      <c r="C46" s="79">
        <v>3</v>
      </c>
      <c r="D46" s="79">
        <v>5</v>
      </c>
      <c r="E46" s="79" t="s">
        <v>29</v>
      </c>
      <c r="F46" s="79">
        <v>4</v>
      </c>
      <c r="G46" s="77" t="s">
        <v>286</v>
      </c>
    </row>
    <row r="47" spans="1:7" ht="17" x14ac:dyDescent="0.2">
      <c r="A47" s="78" t="s">
        <v>283</v>
      </c>
      <c r="B47" s="78" t="s">
        <v>277</v>
      </c>
      <c r="C47" s="79">
        <v>4</v>
      </c>
      <c r="D47" s="79">
        <v>7</v>
      </c>
      <c r="E47" s="79" t="s">
        <v>29</v>
      </c>
      <c r="F47" s="79">
        <v>5</v>
      </c>
      <c r="G47" s="77" t="s">
        <v>287</v>
      </c>
    </row>
    <row r="48" spans="1:7" ht="17" x14ac:dyDescent="0.2">
      <c r="A48" s="78" t="s">
        <v>283</v>
      </c>
      <c r="B48" s="78" t="s">
        <v>277</v>
      </c>
      <c r="C48" s="79">
        <v>5</v>
      </c>
      <c r="D48" s="79">
        <v>9</v>
      </c>
      <c r="E48" s="79" t="s">
        <v>29</v>
      </c>
      <c r="F48" s="79">
        <v>6</v>
      </c>
      <c r="G48" s="77" t="s">
        <v>288</v>
      </c>
    </row>
    <row r="49" spans="1:7" ht="17" x14ac:dyDescent="0.2">
      <c r="A49" s="78" t="s">
        <v>289</v>
      </c>
      <c r="B49" s="78" t="s">
        <v>277</v>
      </c>
      <c r="C49" s="79">
        <v>1</v>
      </c>
      <c r="D49" s="79">
        <v>1</v>
      </c>
      <c r="E49" s="79" t="s">
        <v>29</v>
      </c>
      <c r="F49" s="79">
        <v>2</v>
      </c>
      <c r="G49" s="77" t="s">
        <v>290</v>
      </c>
    </row>
    <row r="50" spans="1:7" ht="17" x14ac:dyDescent="0.2">
      <c r="A50" s="78" t="s">
        <v>289</v>
      </c>
      <c r="B50" s="78" t="s">
        <v>277</v>
      </c>
      <c r="C50" s="79">
        <v>2</v>
      </c>
      <c r="D50" s="79">
        <v>2</v>
      </c>
      <c r="E50" s="79" t="s">
        <v>29</v>
      </c>
      <c r="F50" s="79">
        <v>3</v>
      </c>
      <c r="G50" s="77" t="s">
        <v>291</v>
      </c>
    </row>
    <row r="51" spans="1:7" ht="17" x14ac:dyDescent="0.2">
      <c r="A51" s="78" t="s">
        <v>289</v>
      </c>
      <c r="B51" s="78" t="s">
        <v>277</v>
      </c>
      <c r="C51" s="79">
        <v>3</v>
      </c>
      <c r="D51" s="79">
        <v>4</v>
      </c>
      <c r="E51" s="79" t="s">
        <v>29</v>
      </c>
      <c r="F51" s="79">
        <v>4</v>
      </c>
      <c r="G51" s="77" t="s">
        <v>292</v>
      </c>
    </row>
    <row r="52" spans="1:7" ht="17" x14ac:dyDescent="0.2">
      <c r="A52" s="78" t="s">
        <v>289</v>
      </c>
      <c r="B52" s="78" t="s">
        <v>277</v>
      </c>
      <c r="C52" s="79">
        <v>4</v>
      </c>
      <c r="D52" s="79">
        <v>7</v>
      </c>
      <c r="E52" s="79" t="s">
        <v>29</v>
      </c>
      <c r="F52" s="79">
        <v>5</v>
      </c>
      <c r="G52" s="77" t="s">
        <v>293</v>
      </c>
    </row>
    <row r="53" spans="1:7" ht="17" x14ac:dyDescent="0.2">
      <c r="A53" s="78" t="s">
        <v>289</v>
      </c>
      <c r="B53" s="78" t="s">
        <v>277</v>
      </c>
      <c r="C53" s="79">
        <v>5</v>
      </c>
      <c r="D53" s="79">
        <v>10</v>
      </c>
      <c r="E53" s="79" t="s">
        <v>29</v>
      </c>
      <c r="F53" s="79">
        <v>6</v>
      </c>
      <c r="G53" s="77" t="s">
        <v>294</v>
      </c>
    </row>
    <row r="54" spans="1:7" ht="17" x14ac:dyDescent="0.2">
      <c r="A54" s="78" t="s">
        <v>295</v>
      </c>
      <c r="B54" s="78" t="s">
        <v>277</v>
      </c>
      <c r="C54" s="79">
        <v>1</v>
      </c>
      <c r="D54" s="79">
        <v>1</v>
      </c>
      <c r="E54" s="79" t="s">
        <v>29</v>
      </c>
      <c r="F54" s="79">
        <v>2</v>
      </c>
      <c r="G54" s="77" t="s">
        <v>296</v>
      </c>
    </row>
    <row r="55" spans="1:7" ht="17" x14ac:dyDescent="0.2">
      <c r="A55" s="78" t="s">
        <v>295</v>
      </c>
      <c r="B55" s="78" t="s">
        <v>277</v>
      </c>
      <c r="C55" s="79">
        <v>2</v>
      </c>
      <c r="D55" s="79">
        <v>2</v>
      </c>
      <c r="E55" s="79" t="s">
        <v>29</v>
      </c>
      <c r="F55" s="79">
        <v>3</v>
      </c>
      <c r="G55" s="77" t="s">
        <v>297</v>
      </c>
    </row>
    <row r="56" spans="1:7" ht="17" x14ac:dyDescent="0.2">
      <c r="A56" s="78" t="s">
        <v>295</v>
      </c>
      <c r="B56" s="78" t="s">
        <v>277</v>
      </c>
      <c r="C56" s="79">
        <v>3</v>
      </c>
      <c r="D56" s="79">
        <v>5</v>
      </c>
      <c r="E56" s="79" t="s">
        <v>29</v>
      </c>
      <c r="F56" s="79">
        <v>4</v>
      </c>
      <c r="G56" s="77" t="s">
        <v>298</v>
      </c>
    </row>
    <row r="57" spans="1:7" ht="17" x14ac:dyDescent="0.2">
      <c r="A57" s="78" t="s">
        <v>295</v>
      </c>
      <c r="B57" s="78" t="s">
        <v>277</v>
      </c>
      <c r="C57" s="79">
        <v>4</v>
      </c>
      <c r="D57" s="79">
        <v>9</v>
      </c>
      <c r="E57" s="79" t="s">
        <v>29</v>
      </c>
      <c r="F57" s="79">
        <v>5</v>
      </c>
      <c r="G57" s="77" t="s">
        <v>299</v>
      </c>
    </row>
    <row r="58" spans="1:7" ht="17" x14ac:dyDescent="0.2">
      <c r="A58" s="78" t="s">
        <v>295</v>
      </c>
      <c r="B58" s="78" t="s">
        <v>277</v>
      </c>
      <c r="C58" s="79">
        <v>5</v>
      </c>
      <c r="D58" s="79">
        <v>10</v>
      </c>
      <c r="E58" s="79" t="s">
        <v>29</v>
      </c>
      <c r="F58" s="79">
        <v>6</v>
      </c>
      <c r="G58" s="77" t="s">
        <v>300</v>
      </c>
    </row>
    <row r="59" spans="1:7" ht="17" x14ac:dyDescent="0.2">
      <c r="A59" s="78" t="s">
        <v>301</v>
      </c>
      <c r="B59" s="78" t="s">
        <v>277</v>
      </c>
      <c r="C59" s="79">
        <v>1</v>
      </c>
      <c r="D59" s="79">
        <v>1</v>
      </c>
      <c r="E59" s="79" t="s">
        <v>29</v>
      </c>
      <c r="F59" s="79">
        <v>2</v>
      </c>
      <c r="G59" s="77" t="s">
        <v>302</v>
      </c>
    </row>
    <row r="60" spans="1:7" ht="34" x14ac:dyDescent="0.2">
      <c r="A60" s="78" t="s">
        <v>301</v>
      </c>
      <c r="B60" s="78" t="s">
        <v>277</v>
      </c>
      <c r="C60" s="79">
        <v>2</v>
      </c>
      <c r="D60" s="79">
        <v>3</v>
      </c>
      <c r="E60" s="79" t="s">
        <v>29</v>
      </c>
      <c r="F60" s="79">
        <v>3</v>
      </c>
      <c r="G60" s="77" t="s">
        <v>303</v>
      </c>
    </row>
    <row r="61" spans="1:7" ht="34" x14ac:dyDescent="0.2">
      <c r="A61" s="78" t="s">
        <v>301</v>
      </c>
      <c r="B61" s="78" t="s">
        <v>277</v>
      </c>
      <c r="C61" s="79">
        <v>3</v>
      </c>
      <c r="D61" s="79">
        <v>5</v>
      </c>
      <c r="E61" s="79" t="s">
        <v>29</v>
      </c>
      <c r="F61" s="79">
        <v>4</v>
      </c>
      <c r="G61" s="77" t="s">
        <v>304</v>
      </c>
    </row>
    <row r="62" spans="1:7" ht="34" x14ac:dyDescent="0.2">
      <c r="A62" s="78" t="s">
        <v>301</v>
      </c>
      <c r="B62" s="78" t="s">
        <v>277</v>
      </c>
      <c r="C62" s="79">
        <v>4</v>
      </c>
      <c r="D62" s="79">
        <v>7</v>
      </c>
      <c r="E62" s="79" t="s">
        <v>29</v>
      </c>
      <c r="F62" s="79">
        <v>5</v>
      </c>
      <c r="G62" s="77" t="s">
        <v>305</v>
      </c>
    </row>
    <row r="63" spans="1:7" ht="34" x14ac:dyDescent="0.2">
      <c r="A63" s="78" t="s">
        <v>301</v>
      </c>
      <c r="B63" s="78" t="s">
        <v>277</v>
      </c>
      <c r="C63" s="79">
        <v>5</v>
      </c>
      <c r="D63" s="79">
        <v>9</v>
      </c>
      <c r="E63" s="79" t="s">
        <v>29</v>
      </c>
      <c r="F63" s="79">
        <v>6</v>
      </c>
      <c r="G63" s="77" t="s">
        <v>306</v>
      </c>
    </row>
    <row r="64" spans="1:7" ht="17" x14ac:dyDescent="0.2">
      <c r="A64" s="78" t="s">
        <v>307</v>
      </c>
      <c r="B64" s="78" t="s">
        <v>277</v>
      </c>
      <c r="C64" s="79">
        <v>1</v>
      </c>
      <c r="D64" s="79">
        <v>1</v>
      </c>
      <c r="E64" s="79" t="s">
        <v>29</v>
      </c>
      <c r="F64" s="79">
        <v>2</v>
      </c>
      <c r="G64" s="77" t="s">
        <v>308</v>
      </c>
    </row>
    <row r="65" spans="1:7" ht="17" x14ac:dyDescent="0.2">
      <c r="A65" s="78" t="s">
        <v>309</v>
      </c>
      <c r="B65" s="78" t="s">
        <v>277</v>
      </c>
      <c r="C65" s="79">
        <v>1</v>
      </c>
      <c r="D65" s="79">
        <v>1</v>
      </c>
      <c r="E65" s="79" t="s">
        <v>29</v>
      </c>
      <c r="F65" s="79">
        <v>2</v>
      </c>
      <c r="G65" s="77" t="s">
        <v>310</v>
      </c>
    </row>
    <row r="66" spans="1:7" ht="17" x14ac:dyDescent="0.2">
      <c r="A66" s="78" t="s">
        <v>309</v>
      </c>
      <c r="B66" s="78" t="s">
        <v>277</v>
      </c>
      <c r="C66" s="79">
        <v>2</v>
      </c>
      <c r="D66" s="79">
        <v>2</v>
      </c>
      <c r="E66" s="79" t="s">
        <v>29</v>
      </c>
      <c r="F66" s="79">
        <v>3</v>
      </c>
      <c r="G66" s="77" t="s">
        <v>311</v>
      </c>
    </row>
    <row r="67" spans="1:7" ht="17" x14ac:dyDescent="0.2">
      <c r="A67" s="78" t="s">
        <v>309</v>
      </c>
      <c r="B67" s="78" t="s">
        <v>277</v>
      </c>
      <c r="C67" s="79">
        <v>3</v>
      </c>
      <c r="D67" s="79">
        <v>3</v>
      </c>
      <c r="E67" s="79" t="s">
        <v>29</v>
      </c>
      <c r="F67" s="79">
        <v>4</v>
      </c>
      <c r="G67" s="77" t="s">
        <v>312</v>
      </c>
    </row>
    <row r="68" spans="1:7" ht="17" x14ac:dyDescent="0.2">
      <c r="A68" s="78" t="s">
        <v>309</v>
      </c>
      <c r="B68" s="78" t="s">
        <v>277</v>
      </c>
      <c r="C68" s="79">
        <v>4</v>
      </c>
      <c r="D68" s="79">
        <v>4</v>
      </c>
      <c r="E68" s="79" t="s">
        <v>29</v>
      </c>
      <c r="F68" s="79">
        <v>5</v>
      </c>
      <c r="G68" s="77" t="s">
        <v>313</v>
      </c>
    </row>
    <row r="69" spans="1:7" ht="17" x14ac:dyDescent="0.2">
      <c r="A69" s="78" t="s">
        <v>309</v>
      </c>
      <c r="B69" s="78" t="s">
        <v>277</v>
      </c>
      <c r="C69" s="79">
        <v>5</v>
      </c>
      <c r="D69" s="79">
        <v>5</v>
      </c>
      <c r="E69" s="79" t="s">
        <v>29</v>
      </c>
      <c r="F69" s="79">
        <v>6</v>
      </c>
      <c r="G69" s="77" t="s">
        <v>314</v>
      </c>
    </row>
    <row r="70" spans="1:7" ht="17" x14ac:dyDescent="0.2">
      <c r="A70" s="78" t="s">
        <v>315</v>
      </c>
      <c r="B70" s="78" t="s">
        <v>277</v>
      </c>
      <c r="C70" s="79">
        <v>1</v>
      </c>
      <c r="D70" s="79">
        <v>1</v>
      </c>
      <c r="E70" s="79" t="s">
        <v>29</v>
      </c>
      <c r="F70" s="79">
        <v>2</v>
      </c>
      <c r="G70" s="77" t="s">
        <v>316</v>
      </c>
    </row>
    <row r="71" spans="1:7" ht="17" x14ac:dyDescent="0.2">
      <c r="A71" s="78" t="s">
        <v>315</v>
      </c>
      <c r="B71" s="78" t="s">
        <v>277</v>
      </c>
      <c r="C71" s="79">
        <v>2</v>
      </c>
      <c r="D71" s="79">
        <v>3</v>
      </c>
      <c r="E71" s="79" t="s">
        <v>29</v>
      </c>
      <c r="F71" s="79">
        <v>3</v>
      </c>
      <c r="G71" s="77" t="s">
        <v>317</v>
      </c>
    </row>
    <row r="72" spans="1:7" ht="17" x14ac:dyDescent="0.2">
      <c r="A72" s="78" t="s">
        <v>315</v>
      </c>
      <c r="B72" s="78" t="s">
        <v>277</v>
      </c>
      <c r="C72" s="79">
        <v>3</v>
      </c>
      <c r="D72" s="79">
        <v>5</v>
      </c>
      <c r="E72" s="79" t="s">
        <v>29</v>
      </c>
      <c r="F72" s="79">
        <v>4</v>
      </c>
      <c r="G72" s="77" t="s">
        <v>318</v>
      </c>
    </row>
    <row r="73" spans="1:7" ht="17" x14ac:dyDescent="0.2">
      <c r="A73" s="78" t="s">
        <v>315</v>
      </c>
      <c r="B73" s="78" t="s">
        <v>277</v>
      </c>
      <c r="C73" s="79">
        <v>4</v>
      </c>
      <c r="D73" s="79">
        <v>9</v>
      </c>
      <c r="E73" s="79" t="s">
        <v>29</v>
      </c>
      <c r="F73" s="79">
        <v>5</v>
      </c>
      <c r="G73" s="77" t="s">
        <v>319</v>
      </c>
    </row>
    <row r="74" spans="1:7" ht="17" x14ac:dyDescent="0.2">
      <c r="A74" s="78" t="s">
        <v>315</v>
      </c>
      <c r="B74" s="78" t="s">
        <v>277</v>
      </c>
      <c r="C74" s="79">
        <v>5</v>
      </c>
      <c r="D74" s="79">
        <v>10</v>
      </c>
      <c r="E74" s="79" t="s">
        <v>29</v>
      </c>
      <c r="F74" s="79">
        <v>6</v>
      </c>
      <c r="G74" s="77" t="s">
        <v>320</v>
      </c>
    </row>
    <row r="75" spans="1:7" ht="17" x14ac:dyDescent="0.2">
      <c r="A75" s="78" t="s">
        <v>321</v>
      </c>
      <c r="B75" s="78" t="s">
        <v>277</v>
      </c>
      <c r="C75" s="79">
        <v>1</v>
      </c>
      <c r="D75" s="79">
        <v>1</v>
      </c>
      <c r="E75" s="79" t="s">
        <v>29</v>
      </c>
      <c r="F75" s="79">
        <v>2</v>
      </c>
      <c r="G75" s="77" t="s">
        <v>326</v>
      </c>
    </row>
    <row r="76" spans="1:7" ht="17" x14ac:dyDescent="0.2">
      <c r="A76" s="78" t="s">
        <v>321</v>
      </c>
      <c r="B76" s="78" t="s">
        <v>277</v>
      </c>
      <c r="C76" s="79">
        <v>2</v>
      </c>
      <c r="D76" s="79">
        <v>3</v>
      </c>
      <c r="E76" s="79" t="s">
        <v>29</v>
      </c>
      <c r="F76" s="79">
        <v>3</v>
      </c>
      <c r="G76" s="77" t="s">
        <v>322</v>
      </c>
    </row>
    <row r="77" spans="1:7" ht="17" x14ac:dyDescent="0.2">
      <c r="A77" s="78" t="s">
        <v>321</v>
      </c>
      <c r="B77" s="78" t="s">
        <v>277</v>
      </c>
      <c r="C77" s="79">
        <v>3</v>
      </c>
      <c r="D77" s="79">
        <v>5</v>
      </c>
      <c r="E77" s="79" t="s">
        <v>29</v>
      </c>
      <c r="F77" s="79">
        <v>4</v>
      </c>
      <c r="G77" s="77" t="s">
        <v>323</v>
      </c>
    </row>
    <row r="78" spans="1:7" ht="17" x14ac:dyDescent="0.2">
      <c r="A78" s="78" t="s">
        <v>321</v>
      </c>
      <c r="B78" s="78" t="s">
        <v>277</v>
      </c>
      <c r="C78" s="79">
        <v>4</v>
      </c>
      <c r="D78" s="79">
        <v>7</v>
      </c>
      <c r="E78" s="79" t="s">
        <v>29</v>
      </c>
      <c r="F78" s="79">
        <v>5</v>
      </c>
      <c r="G78" s="77" t="s">
        <v>324</v>
      </c>
    </row>
    <row r="79" spans="1:7" ht="17" x14ac:dyDescent="0.2">
      <c r="A79" s="78" t="s">
        <v>321</v>
      </c>
      <c r="B79" s="78" t="s">
        <v>277</v>
      </c>
      <c r="C79" s="79">
        <v>5</v>
      </c>
      <c r="D79" s="79">
        <v>9</v>
      </c>
      <c r="E79" s="79" t="s">
        <v>29</v>
      </c>
      <c r="F79" s="79">
        <v>6</v>
      </c>
      <c r="G79" s="77" t="s">
        <v>325</v>
      </c>
    </row>
    <row r="80" spans="1:7" ht="17" x14ac:dyDescent="0.2">
      <c r="A80" s="78" t="s">
        <v>327</v>
      </c>
      <c r="B80" s="78" t="s">
        <v>277</v>
      </c>
      <c r="C80" s="79">
        <v>1</v>
      </c>
      <c r="D80" s="79">
        <v>1</v>
      </c>
      <c r="E80" s="79" t="s">
        <v>29</v>
      </c>
      <c r="F80" s="79">
        <v>2</v>
      </c>
      <c r="G80" s="77" t="s">
        <v>328</v>
      </c>
    </row>
    <row r="81" spans="1:7" ht="17" x14ac:dyDescent="0.2">
      <c r="A81" s="78" t="s">
        <v>327</v>
      </c>
      <c r="B81" s="78" t="s">
        <v>277</v>
      </c>
      <c r="C81" s="79">
        <v>2</v>
      </c>
      <c r="D81" s="79">
        <v>3</v>
      </c>
      <c r="E81" s="79" t="s">
        <v>29</v>
      </c>
      <c r="F81" s="79">
        <v>3</v>
      </c>
      <c r="G81" s="77" t="s">
        <v>329</v>
      </c>
    </row>
    <row r="82" spans="1:7" ht="17" x14ac:dyDescent="0.2">
      <c r="A82" s="78" t="s">
        <v>327</v>
      </c>
      <c r="B82" s="78" t="s">
        <v>277</v>
      </c>
      <c r="C82" s="79">
        <v>3</v>
      </c>
      <c r="D82" s="79">
        <v>5</v>
      </c>
      <c r="E82" s="79" t="s">
        <v>29</v>
      </c>
      <c r="F82" s="79">
        <v>4</v>
      </c>
      <c r="G82" s="77" t="s">
        <v>330</v>
      </c>
    </row>
    <row r="83" spans="1:7" ht="17" x14ac:dyDescent="0.2">
      <c r="A83" s="78" t="s">
        <v>327</v>
      </c>
      <c r="B83" s="78" t="s">
        <v>277</v>
      </c>
      <c r="C83" s="79">
        <v>4</v>
      </c>
      <c r="D83" s="79">
        <v>7</v>
      </c>
      <c r="E83" s="79" t="s">
        <v>29</v>
      </c>
      <c r="F83" s="79">
        <v>5</v>
      </c>
      <c r="G83" s="77" t="s">
        <v>331</v>
      </c>
    </row>
    <row r="84" spans="1:7" ht="17" x14ac:dyDescent="0.2">
      <c r="A84" s="78" t="s">
        <v>327</v>
      </c>
      <c r="B84" s="78" t="s">
        <v>277</v>
      </c>
      <c r="C84" s="79">
        <v>5</v>
      </c>
      <c r="D84" s="79">
        <v>9</v>
      </c>
      <c r="E84" s="79" t="s">
        <v>29</v>
      </c>
      <c r="F84" s="79">
        <v>6</v>
      </c>
      <c r="G84" s="77" t="s">
        <v>332</v>
      </c>
    </row>
    <row r="85" spans="1:7" x14ac:dyDescent="0.2">
      <c r="A85" t="s">
        <v>49</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2019-01-01T19:10:31Z</dcterms:modified>
</cp:coreProperties>
</file>