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CE238170-CB31-7D46-A5F0-2F94DBFF7A57}" xr6:coauthVersionLast="40" xr6:coauthVersionMax="40" xr10:uidLastSave="{00000000-0000-0000-0000-000000000000}"/>
  <bookViews>
    <workbookView xWindow="0" yWindow="460" windowWidth="38200" windowHeight="23540"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_XP">Table9[[#Totals],[XP]]</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Resistances!$A$1:$K$10</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P">Table1218[[#Totals],[AP]]</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Table1218[[#Totals],[INI2]]</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22" i="13" l="1"/>
  <c r="C15" i="8" s="1"/>
  <c r="J22" i="13"/>
  <c r="U22" i="13"/>
  <c r="C14" i="8" s="1"/>
  <c r="L7" i="5" l="1"/>
  <c r="F39" i="14" l="1"/>
  <c r="N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3" i="4"/>
  <c r="O4" i="4"/>
  <c r="O5" i="4"/>
  <c r="O6" i="4"/>
  <c r="Z22" i="13"/>
  <c r="K6" i="4" s="1"/>
  <c r="Y22" i="13"/>
  <c r="K5" i="4" s="1"/>
  <c r="X22" i="13"/>
  <c r="K4" i="4" s="1"/>
  <c r="W22" i="13"/>
  <c r="K3" i="4" s="1"/>
  <c r="V22" i="13"/>
  <c r="K2" i="4" s="1"/>
  <c r="S22" i="13"/>
  <c r="C13" i="8" s="1"/>
  <c r="R22" i="13"/>
  <c r="C12" i="8" s="1"/>
  <c r="Q22" i="13"/>
  <c r="C11" i="8" s="1"/>
  <c r="P22" i="13"/>
  <c r="C10" i="8" s="1"/>
  <c r="O22" i="13"/>
  <c r="C9" i="8" s="1"/>
  <c r="N22" i="13"/>
  <c r="C8" i="8" s="1"/>
  <c r="M22" i="13"/>
  <c r="C7" i="8" s="1"/>
  <c r="L22" i="13"/>
  <c r="C6" i="8" s="1"/>
  <c r="K22" i="13"/>
  <c r="C5" i="8" s="1"/>
  <c r="C4" i="8"/>
  <c r="I22" i="13"/>
  <c r="C3" i="8" s="1"/>
  <c r="H22" i="13"/>
  <c r="C2" i="8" s="1"/>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H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F10" i="8" s="1"/>
  <c r="J10" i="8" s="1"/>
  <c r="K10" i="8" s="1"/>
  <c r="Y21" i="1" s="1"/>
  <c r="K22" i="10"/>
  <c r="J22" i="10"/>
  <c r="D8" i="8" s="1"/>
  <c r="I22" i="10"/>
  <c r="D7" i="8" s="1"/>
  <c r="H22" i="10"/>
  <c r="D6" i="8" s="1"/>
  <c r="F6" i="8" s="1"/>
  <c r="G22" i="10"/>
  <c r="D5" i="8" s="1"/>
  <c r="F5" i="8" s="1"/>
  <c r="J5" i="8" s="1"/>
  <c r="K5" i="8" s="1"/>
  <c r="Y16" i="1" s="1"/>
  <c r="N22" i="10"/>
  <c r="D12" i="8" s="1"/>
  <c r="O22" i="10"/>
  <c r="F22" i="10"/>
  <c r="D4" i="8" s="1"/>
  <c r="F4" i="8" s="1"/>
  <c r="J4" i="8" s="1"/>
  <c r="K4" i="8" s="1"/>
  <c r="E22" i="10"/>
  <c r="D3" i="8" s="1"/>
  <c r="F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3" i="2"/>
  <c r="H4" i="2"/>
  <c r="H5" i="2"/>
  <c r="H6" i="2"/>
  <c r="H7" i="2"/>
  <c r="H8" i="2"/>
  <c r="H9" i="2"/>
  <c r="H10" i="2"/>
  <c r="H11" i="2"/>
  <c r="H12" i="2"/>
  <c r="H13" i="2"/>
  <c r="H14" i="2"/>
  <c r="H15" i="2"/>
  <c r="H16" i="2"/>
  <c r="H17" i="2"/>
  <c r="H18" i="2"/>
  <c r="H19" i="2"/>
  <c r="H20" i="2"/>
  <c r="H21" i="2"/>
  <c r="H22" i="2"/>
  <c r="H23" i="2"/>
  <c r="H24" i="2"/>
  <c r="H25" i="2"/>
  <c r="H6" i="4"/>
  <c r="H5" i="4"/>
  <c r="H4" i="4"/>
  <c r="H3" i="4"/>
  <c r="H2" i="4"/>
  <c r="U4" i="7"/>
  <c r="U5" i="7"/>
  <c r="U6" i="7"/>
  <c r="U7" i="7"/>
  <c r="U8" i="7"/>
  <c r="U9" i="7"/>
  <c r="U10" i="7"/>
  <c r="U11" i="7"/>
  <c r="U12" i="7"/>
  <c r="U3" i="7"/>
  <c r="I6" i="4"/>
  <c r="I5" i="4"/>
  <c r="I4" i="4"/>
  <c r="I3" i="4"/>
  <c r="I2" i="4"/>
  <c r="I3" i="2"/>
  <c r="I4" i="2"/>
  <c r="I5" i="2"/>
  <c r="I6" i="2"/>
  <c r="I7" i="2"/>
  <c r="I8" i="2"/>
  <c r="I9" i="2"/>
  <c r="I10" i="2"/>
  <c r="I11" i="2"/>
  <c r="I12" i="2"/>
  <c r="I13" i="2"/>
  <c r="I14" i="2"/>
  <c r="I15" i="2"/>
  <c r="I16" i="2"/>
  <c r="I17" i="2"/>
  <c r="I18" i="2"/>
  <c r="I19" i="2"/>
  <c r="I20" i="2"/>
  <c r="I21" i="2"/>
  <c r="I22" i="2"/>
  <c r="I23" i="2"/>
  <c r="I24" i="2"/>
  <c r="I25" i="2"/>
  <c r="G10" i="2"/>
  <c r="G11" i="2"/>
  <c r="G7" i="2"/>
  <c r="F12" i="8" l="1"/>
  <c r="J12" i="8" s="1"/>
  <c r="B10" i="5" s="1"/>
  <c r="R9" i="1" s="1"/>
  <c r="F7" i="8"/>
  <c r="J7" i="8" s="1"/>
  <c r="K7" i="8" s="1"/>
  <c r="Y18" i="1" s="1"/>
  <c r="F8" i="8"/>
  <c r="L20" i="8"/>
  <c r="K7" i="5" s="1"/>
  <c r="Y26" i="1"/>
  <c r="Y15" i="1"/>
  <c r="C27" i="10"/>
  <c r="D11" i="8" s="1"/>
  <c r="F11" i="8" s="1"/>
  <c r="J11" i="8" s="1"/>
  <c r="E27" i="10"/>
  <c r="D9" i="8" s="1"/>
  <c r="F9" i="8" s="1"/>
  <c r="J9" i="8" s="1"/>
  <c r="K9" i="8" s="1"/>
  <c r="D27" i="10"/>
  <c r="D14" i="8" s="1"/>
  <c r="K4" i="2"/>
  <c r="N15" i="1" s="1"/>
  <c r="K16" i="12"/>
  <c r="K28" i="2"/>
  <c r="N39" i="1" s="1"/>
  <c r="K29" i="2"/>
  <c r="K6" i="12"/>
  <c r="Y34" i="1" s="1"/>
  <c r="B17" i="12"/>
  <c r="K10" i="12"/>
  <c r="Y38" i="1" s="1"/>
  <c r="K2" i="12"/>
  <c r="Y30" i="1" s="1"/>
  <c r="K7" i="12"/>
  <c r="Y35" i="1" s="1"/>
  <c r="K13" i="12"/>
  <c r="K8" i="12"/>
  <c r="Y36" i="1" s="1"/>
  <c r="K14" i="12"/>
  <c r="K5" i="12"/>
  <c r="Y33" i="1" s="1"/>
  <c r="K11" i="12"/>
  <c r="K3" i="12"/>
  <c r="Y31" i="1" s="1"/>
  <c r="K12" i="12"/>
  <c r="K9" i="12"/>
  <c r="Y37" i="1" s="1"/>
  <c r="K15" i="12"/>
  <c r="K27" i="2"/>
  <c r="N38" i="1" s="1"/>
  <c r="K4" i="12"/>
  <c r="Y32" i="1" s="1"/>
  <c r="K26" i="2"/>
  <c r="N37" i="1" s="1"/>
  <c r="K31" i="2"/>
  <c r="K30" i="2"/>
  <c r="K33" i="2"/>
  <c r="K34" i="2"/>
  <c r="K32" i="2"/>
  <c r="L4" i="5"/>
  <c r="AN2" i="1" s="1"/>
  <c r="J2" i="8"/>
  <c r="K2" i="8" s="1"/>
  <c r="F2" i="8"/>
  <c r="K7" i="2"/>
  <c r="N18" i="1" s="1"/>
  <c r="K10" i="2"/>
  <c r="N21" i="1" s="1"/>
  <c r="K11" i="2"/>
  <c r="N22" i="1" s="1"/>
  <c r="J8" i="8"/>
  <c r="K12" i="8"/>
  <c r="Y23" i="1" s="1"/>
  <c r="J6" i="8"/>
  <c r="K6" i="8" s="1"/>
  <c r="Y17" i="1" s="1"/>
  <c r="M5" i="4"/>
  <c r="F35" i="2"/>
  <c r="E35" i="2"/>
  <c r="D35" i="2"/>
  <c r="C35" i="2"/>
  <c r="C7" i="4"/>
  <c r="E7" i="4"/>
  <c r="D7" i="4"/>
  <c r="M3" i="4"/>
  <c r="M4" i="4"/>
  <c r="M6" i="4"/>
  <c r="M2" i="4"/>
  <c r="F3" i="4"/>
  <c r="F4" i="4"/>
  <c r="F6" i="4"/>
  <c r="F2" i="4"/>
  <c r="Y13" i="1" l="1"/>
  <c r="K14" i="8"/>
  <c r="AL9" i="1" s="1"/>
  <c r="F14" i="8"/>
  <c r="J14" i="8" s="1"/>
  <c r="N3" i="4"/>
  <c r="C19" i="1"/>
  <c r="N4" i="4"/>
  <c r="AA11" i="13" s="1"/>
  <c r="C26" i="1"/>
  <c r="N5" i="4"/>
  <c r="B30" i="1" s="1"/>
  <c r="C33" i="1"/>
  <c r="N2" i="4"/>
  <c r="C12" i="1"/>
  <c r="N6" i="4"/>
  <c r="B37" i="1" s="1"/>
  <c r="C40" i="1"/>
  <c r="B9" i="5"/>
  <c r="M9" i="1" s="1"/>
  <c r="K11" i="8"/>
  <c r="Y22" i="1" s="1"/>
  <c r="E8" i="5"/>
  <c r="Y20" i="1"/>
  <c r="D6" i="5"/>
  <c r="B3" i="5"/>
  <c r="K8" i="8"/>
  <c r="Y19" i="1" s="1"/>
  <c r="E6" i="5"/>
  <c r="B17" i="9"/>
  <c r="H2" i="2"/>
  <c r="B35" i="2"/>
  <c r="J7" i="5" s="1"/>
  <c r="B7" i="4"/>
  <c r="I7" i="5" s="1"/>
  <c r="G3" i="2"/>
  <c r="K3" i="2" s="1"/>
  <c r="N14" i="1" s="1"/>
  <c r="G4" i="2"/>
  <c r="G5" i="2"/>
  <c r="K5" i="2" s="1"/>
  <c r="N16" i="1" s="1"/>
  <c r="G6" i="2"/>
  <c r="K6" i="2" s="1"/>
  <c r="N17" i="1" s="1"/>
  <c r="G8" i="2"/>
  <c r="K8" i="2" s="1"/>
  <c r="N19" i="1" s="1"/>
  <c r="G9" i="2"/>
  <c r="K9" i="2" s="1"/>
  <c r="N20" i="1" s="1"/>
  <c r="G12" i="2"/>
  <c r="K12" i="2" s="1"/>
  <c r="N23" i="1" s="1"/>
  <c r="G13" i="2"/>
  <c r="K13" i="2" s="1"/>
  <c r="N24" i="1" s="1"/>
  <c r="G14" i="2"/>
  <c r="K14" i="2" s="1"/>
  <c r="N25" i="1" s="1"/>
  <c r="G15" i="2"/>
  <c r="K15" i="2" s="1"/>
  <c r="N26" i="1" s="1"/>
  <c r="G16" i="2"/>
  <c r="K16" i="2" s="1"/>
  <c r="N27" i="1" s="1"/>
  <c r="G17" i="2"/>
  <c r="K17" i="2" s="1"/>
  <c r="N28" i="1" s="1"/>
  <c r="G18" i="2"/>
  <c r="K18" i="2" s="1"/>
  <c r="N29" i="1" s="1"/>
  <c r="G19" i="2"/>
  <c r="K19" i="2" s="1"/>
  <c r="N30" i="1" s="1"/>
  <c r="G20" i="2"/>
  <c r="K20" i="2" s="1"/>
  <c r="N31" i="1" s="1"/>
  <c r="G21" i="2"/>
  <c r="K21" i="2" s="1"/>
  <c r="N32" i="1" s="1"/>
  <c r="G22" i="2"/>
  <c r="K22" i="2" s="1"/>
  <c r="N33" i="1" s="1"/>
  <c r="G23" i="2"/>
  <c r="K23" i="2" s="1"/>
  <c r="N34" i="1" s="1"/>
  <c r="G24" i="2"/>
  <c r="K24" i="2" s="1"/>
  <c r="N35" i="1" s="1"/>
  <c r="G25" i="2"/>
  <c r="K25" i="2" s="1"/>
  <c r="N36" i="1" s="1"/>
  <c r="G2" i="2"/>
  <c r="AA10" i="13" l="1"/>
  <c r="AA9" i="13"/>
  <c r="AA4" i="13"/>
  <c r="AA5" i="13"/>
  <c r="AA3" i="13"/>
  <c r="AE16" i="1" s="1"/>
  <c r="AA6" i="13"/>
  <c r="AA12" i="13"/>
  <c r="AA7" i="13"/>
  <c r="AA8" i="13"/>
  <c r="O7" i="5"/>
  <c r="B23" i="1"/>
  <c r="B16" i="1"/>
  <c r="B9" i="1"/>
  <c r="I2" i="2"/>
  <c r="AS2" i="1"/>
  <c r="Y25" i="1"/>
  <c r="E11" i="5"/>
  <c r="D7" i="5"/>
  <c r="J3" i="8" s="1"/>
  <c r="K3" i="8" s="1"/>
  <c r="Y14" i="1" s="1"/>
  <c r="B6" i="5"/>
  <c r="W9" i="1" s="1"/>
  <c r="K9" i="5"/>
  <c r="B11" i="5" l="1"/>
  <c r="J2" i="2"/>
  <c r="K2" i="2" s="1"/>
  <c r="N13" i="1" s="1"/>
  <c r="O2" i="4"/>
  <c r="F7" i="5"/>
  <c r="B8" i="5"/>
  <c r="AB9" i="1" s="1"/>
  <c r="B7" i="5" l="1"/>
  <c r="H9" i="1" s="1"/>
  <c r="AG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Carlos Kelkboom</author>
  </authors>
  <commentList>
    <comment ref="E2" authorId="0" shapeId="0" xr:uid="{1A4923FB-D4F3-BF4D-AA17-E2FB16A5511B}">
      <text>
        <r>
          <rPr>
            <b/>
            <sz val="10"/>
            <color rgb="FF000000"/>
            <rFont val="Tahoma"/>
            <family val="2"/>
          </rPr>
          <t>Carlos Kelkboom:</t>
        </r>
        <r>
          <rPr>
            <sz val="10"/>
            <color rgb="FF000000"/>
            <rFont val="Tahoma"/>
            <family val="2"/>
          </rPr>
          <t xml:space="preserve">
</t>
        </r>
        <r>
          <rPr>
            <sz val="10"/>
            <color rgb="FF000000"/>
            <rFont val="Tahoma"/>
            <family val="2"/>
          </rPr>
          <t>+2 DMG from Bloodbath</t>
        </r>
      </text>
    </comment>
  </commentList>
</comments>
</file>

<file path=xl/sharedStrings.xml><?xml version="1.0" encoding="utf-8"?>
<sst xmlns="http://schemas.openxmlformats.org/spreadsheetml/2006/main" count="841" uniqueCount="289">
  <si>
    <t>Weapon Skill</t>
  </si>
  <si>
    <t>Unarmed Skill</t>
  </si>
  <si>
    <t>Ballistic Skill</t>
  </si>
  <si>
    <t>Tactics</t>
  </si>
  <si>
    <t>Magic Skill</t>
  </si>
  <si>
    <t>History</t>
  </si>
  <si>
    <t>Animal Handler</t>
  </si>
  <si>
    <t>Insight</t>
  </si>
  <si>
    <t>Slight of Hand</t>
  </si>
  <si>
    <t>Deception</t>
  </si>
  <si>
    <t>Charm</t>
  </si>
  <si>
    <t>Torture</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</si>
  <si>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</si>
  <si>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</si>
  <si>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</si>
  <si>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</si>
  <si>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</si>
  <si>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</si>
  <si>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</si>
  <si>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</si>
  <si>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</si>
  <si>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</si>
  <si>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</si>
  <si>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</si>
  <si>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</si>
  <si>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</si>
  <si>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</si>
  <si>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</si>
  <si>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</si>
  <si>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</si>
  <si>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</si>
  <si>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</si>
  <si>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</si>
  <si>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</si>
  <si>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</si>
  <si>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</si>
  <si>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</si>
  <si>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</si>
  <si>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</si>
  <si>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</si>
  <si>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</si>
  <si>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</si>
  <si>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</si>
  <si>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</si>
  <si>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</si>
  <si>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</si>
  <si>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</si>
  <si>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</si>
  <si>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</si>
  <si>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</si>
  <si>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</si>
  <si>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</si>
  <si>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</si>
  <si>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</si>
  <si>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</si>
  <si>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</si>
  <si>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</si>
  <si>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</si>
  <si>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</si>
  <si>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</si>
  <si>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</si>
  <si>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</si>
  <si>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</si>
  <si>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</si>
  <si>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</si>
  <si>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</si>
  <si>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</si>
  <si>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</si>
  <si>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</si>
  <si>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</si>
  <si>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</si>
  <si>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</si>
  <si>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</si>
  <si>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</si>
  <si>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</si>
  <si>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</si>
  <si>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</si>
  <si>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</si>
  <si>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</si>
  <si>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</si>
  <si>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</si>
  <si>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</si>
  <si>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</si>
  <si>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</si>
  <si>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</si>
  <si>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</si>
  <si>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</si>
  <si>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</si>
  <si>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</si>
  <si>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</si>
  <si>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</si>
  <si>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</si>
  <si>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</si>
  <si>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</si>
  <si>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</si>
  <si>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</si>
  <si>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</si>
  <si>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</si>
  <si>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</si>
  <si>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</si>
  <si>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</si>
  <si>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</si>
  <si>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</si>
  <si>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</si>
  <si>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</si>
  <si>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</si>
  <si>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</si>
  <si>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</si>
  <si>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</si>
  <si>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</si>
  <si>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</si>
  <si>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</si>
  <si>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</si>
  <si>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</si>
  <si>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</si>
  <si>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</si>
  <si>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</si>
  <si>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</si>
  <si>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</si>
  <si>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</si>
  <si>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</si>
  <si>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</si>
  <si>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</si>
  <si>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</si>
  <si>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</si>
  <si>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</si>
  <si>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</si>
  <si>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</si>
  <si>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</si>
  <si>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</si>
  <si>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</si>
  <si>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</si>
  <si>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</si>
  <si>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</si>
  <si>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</si>
  <si>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</si>
  <si>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</si>
  <si>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</si>
  <si>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</si>
  <si>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</si>
  <si>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</si>
  <si>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</si>
  <si>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</si>
  <si>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</si>
  <si>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</si>
  <si>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</si>
  <si>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</si>
  <si>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</si>
  <si>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</si>
  <si>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</si>
  <si>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</si>
  <si>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</si>
  <si>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</si>
  <si>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</si>
  <si>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</si>
  <si>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</si>
  <si>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</si>
  <si>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</si>
  <si>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</si>
  <si>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</si>
  <si>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</si>
  <si>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</si>
  <si>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</si>
  <si>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</si>
  <si>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</si>
  <si>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</si>
  <si>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</si>
  <si>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</si>
  <si>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</si>
  <si>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</si>
  <si>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</si>
  <si>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</si>
  <si>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</si>
  <si>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</si>
  <si>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</si>
  <si>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</si>
  <si>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</si>
  <si>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</si>
  <si>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</si>
  <si>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</si>
  <si>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</si>
  <si>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</si>
  <si>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</si>
  <si>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</si>
  <si>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</si>
  <si>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</si>
  <si>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</si>
  <si>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</si>
  <si>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</si>
  <si>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</si>
  <si>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</si>
  <si>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</si>
  <si>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</si>
  <si>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</si>
  <si>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</si>
  <si>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</si>
  <si>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</si>
  <si>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</si>
  <si>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</si>
  <si>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</si>
  <si>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</si>
  <si>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</si>
  <si>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</si>
  <si>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</si>
  <si>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</si>
  <si>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</si>
  <si>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</si>
  <si>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</si>
  <si>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</si>
  <si>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</si>
  <si>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</si>
  <si>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</si>
  <si>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</si>
  <si>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</si>
  <si>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</si>
  <si>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</si>
  <si>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</si>
  <si>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</si>
  <si>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2-H Warhammer</t>
  </si>
  <si>
    <t>Spear</t>
  </si>
  <si>
    <t>Maul (2-H)</t>
  </si>
  <si>
    <t>Longsword</t>
  </si>
  <si>
    <t>Greataxe</t>
  </si>
  <si>
    <t>Longbow</t>
  </si>
  <si>
    <t>Shortbow</t>
  </si>
  <si>
    <t>Source</t>
  </si>
  <si>
    <t>Wand</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</si>
  <si>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</si>
  <si>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</si>
  <si>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</si>
  <si>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</si>
  <si>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</si>
  <si>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</si>
  <si>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Arcane Wave</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</si>
  <si>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</si>
  <si>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Knockback's cone goes to 120 deg resist with STR DC 16</t>
  </si>
  <si>
    <t>Knockback's cone goes to 180 deg resist with STR DC 18</t>
  </si>
  <si>
    <t>Knockback in an full circle around the caster. Resist with STR DC 21.</t>
  </si>
  <si>
    <t>Arcane Charge</t>
  </si>
  <si>
    <t>Every attack does 1d4 DMG, gain 1 AP per attack</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</si>
  <si>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</si>
  <si>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</si>
  <si>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</si>
  <si>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</si>
  <si>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</si>
  <si>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</si>
  <si>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</si>
  <si>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</si>
  <si>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</si>
  <si>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</si>
  <si>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</si>
  <si>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</si>
  <si>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</si>
  <si>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</si>
  <si>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</si>
  <si>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</si>
  <si>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</si>
  <si>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</si>
  <si>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</si>
  <si>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Per AP +1 INI for 2 rounds</t>
  </si>
  <si>
    <t>Per AP +2 INI for 2 rounds</t>
  </si>
  <si>
    <t>Per AP +3 INI for 2 rounds</t>
  </si>
  <si>
    <t>Arcane Armor</t>
  </si>
  <si>
    <t>Per AP +1 Armor and +1 Aura untill the end of your next turn</t>
  </si>
  <si>
    <t>Per AP +2 Armor and +2 Aura</t>
  </si>
  <si>
    <t>Per AP +3 Armor and +3 Aura</t>
  </si>
  <si>
    <t>Per AP +4 Armor and +4 Aura</t>
  </si>
  <si>
    <t>Arcane Familiar</t>
  </si>
  <si>
    <t>You can summon an Arcane Familiar which looks like a real animal. You can pick how the familiar looks, but changing the familiar costs ten moonstones (rare item, 10 gold per moonstone)</t>
  </si>
  <si>
    <t xml:space="preserve">Illusional Self </t>
  </si>
  <si>
    <t xml:space="preserve">You can create an illusion of yourself through which you can cast your spells. Illusion must remain in Line of Sight but can walk through walls. 10 minutes to summon or 1 AP and 20 INI. </t>
  </si>
  <si>
    <t>Arcane sight</t>
  </si>
  <si>
    <t>You can summon a sphere of arcane energy through which you can look. The sphere can fly but can't touch water. Takes 10 minutes to summon.</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</si>
  <si>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</si>
  <si>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</si>
  <si>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</si>
  <si>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</si>
  <si>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</si>
  <si>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</si>
  <si>
    <t>Barbie</t>
  </si>
  <si>
    <t>Great Axe</t>
  </si>
  <si>
    <t>Dice - Constant - Statistic - Feat DMG</t>
  </si>
  <si>
    <t>* Bloodbath +2 DMG</t>
  </si>
  <si>
    <t>* Barbaric Strikes: Each time you crit your next two attacks roll an extra die</t>
  </si>
  <si>
    <t>* Rolling Crits: Each time you do not crit you gain +5% Crit</t>
  </si>
  <si>
    <t xml:space="preserve">Rage, Every 10 HP you loose you gain +1 DMG </t>
  </si>
  <si>
    <t>Bleed, each action point does 1d4 DMG instead of 1 DMG</t>
  </si>
  <si>
    <t>Revenge, When you get hit you automatically counter with 1d6 DMG</t>
  </si>
  <si>
    <t>Charger, you take -10 to skill and gain a +10 DMG for Movement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</si>
</sst>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
      <sz val="10"/>
      <color rgb="FF000000"/>
      <name val="Tahoma"/>
      <family val="2"/>
    </font>
    <font>
      <b/>
      <sz val="10"/>
      <color rgb="FF000000"/>
      <name val="Tahoma"/>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4">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0" fillId="0" borderId="30" xfId="0" applyNumberFormat="1" applyBorder="1" applyAlignment="1">
      <alignment vertical="center"/>
    </xf>
    <xf numFmtId="49" fontId="0" fillId="0" borderId="0" xfId="0" applyNumberFormat="1" applyBorder="1" applyAlignment="1">
      <alignment vertical="center"/>
    </xf>
    <xf numFmtId="49" fontId="0" fillId="0" borderId="31" xfId="0" applyNumberFormat="1" applyBorder="1" applyAlignment="1">
      <alignment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horizontal="center"/>
    </xf>
    <xf numFmtId="0" fontId="0" fillId="0" borderId="0" xfId="0" applyFont="1" applyAlignment="1">
      <alignment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4" fillId="0" borderId="0" xfId="0" applyFont="1" applyBorder="1" applyAlignment="1">
      <alignment horizontal="center" vertical="top"/>
    </xf>
    <xf numFmtId="0" fontId="0" fillId="0" borderId="0" xfId="0" applyBorder="1" applyAlignment="1">
      <alignment horizontal="left" vertical="center"/>
    </xf>
    <xf numFmtId="0" fontId="0" fillId="0" borderId="15" xfId="0" applyBorder="1" applyAlignment="1">
      <alignment horizontal="left"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9" fillId="0" borderId="0" xfId="0" applyFont="1" applyAlignment="1">
      <alignment horizontal="left"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10" fillId="0" borderId="0" xfId="0" applyFont="1" applyBorder="1" applyAlignment="1">
      <alignment horizontal="left" wrapText="1"/>
    </xf>
    <xf numFmtId="0" fontId="10" fillId="0" borderId="0" xfId="0" applyFont="1" applyAlignment="1">
      <alignment horizontal="left" vertical="center" wrapText="1"/>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6" xfId="0" applyFont="1" applyBorder="1" applyAlignment="1">
      <alignment horizontal="right"/>
    </xf>
    <xf numFmtId="0" fontId="1" fillId="0" borderId="4" xfId="0" applyFont="1" applyBorder="1" applyAlignment="1">
      <alignment horizontal="right"/>
    </xf>
    <xf numFmtId="0" fontId="1" fillId="0" borderId="0" xfId="0" applyFont="1" applyAlignment="1">
      <alignment horizontal="center"/>
    </xf>
  </cellXfs>
  <cellStyles count="1">
    <cellStyle name="Normal" xfId="0" builtinId="0"/>
  </cellStyles>
  <dxfs count="297">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96" dataDxfId="295">
  <autoFilter ref="Q2:S42" xr:uid="{F3ABECE7-6469-3F43-890B-0963AC8035B5}"/>
  <tableColumns count="3">
    <tableColumn id="1" xr3:uid="{65401DCF-9801-AA4F-9D7C-14A36966F4BA}" name="Date" totalsRowLabel="Total" dataDxfId="294" totalsRowDxfId="293"/>
    <tableColumn id="2" xr3:uid="{D703D096-B658-604D-BDCC-2B29BF766859}" name="XP" totalsRowFunction="sum" dataDxfId="292" totalsRowDxfId="291"/>
    <tableColumn id="3" xr3:uid="{BE38B662-73B8-B246-A576-1733D777406D}" name="Description" dataDxfId="290" totalsRowDxfId="28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37" dataDxfId="36">
  <autoFilter ref="A1:R58" xr:uid="{BA70A05F-D1C9-EC47-8CA4-A9B304C93060}"/>
  <tableColumns count="18">
    <tableColumn id="1" xr3:uid="{98665492-075C-D44B-8EDA-A52F37F4C96E}" name="Name" dataDxfId="35"/>
    <tableColumn id="2" xr3:uid="{73639F93-F9BF-204E-AEC8-CAA30EB8D6B5}" name="STR" dataDxfId="34"/>
    <tableColumn id="3" xr3:uid="{6B9E0521-C50E-264F-9593-C1F9E4D23715}" name="AGI" dataDxfId="33"/>
    <tableColumn id="4" xr3:uid="{44939BD3-1FFC-3E45-994F-37661A933E0C}" name="INU" dataDxfId="32"/>
    <tableColumn id="18" xr3:uid="{556D51F8-4C69-4644-B0FC-A64BD79C53F2}" name="CHA" dataDxfId="31"/>
    <tableColumn id="5" xr3:uid="{5BFA8BB0-66CB-0546-8525-FCA528C6BD63}" name="PER" dataDxfId="30"/>
    <tableColumn id="6" xr3:uid="{3512D05D-3A98-B245-A95E-F240DF5C3211}" name="HP Factor" dataDxfId="29"/>
    <tableColumn id="7" xr3:uid="{D0765DA9-8712-204F-B9A9-1B49046E2AAD}" name="XP" dataDxfId="28"/>
    <tableColumn id="8" xr3:uid="{597A7743-384F-C14E-BB6E-C23E1C6CE1CA}" name="Column2" dataDxfId="27"/>
    <tableColumn id="9" xr3:uid="{60EC4EF6-1D62-7949-816C-66C151F7BFBA}" name="Column3" dataDxfId="26"/>
    <tableColumn id="10" xr3:uid="{F0B18199-5A5B-414E-8450-522D2887E3DD}" name="Column4" dataDxfId="25"/>
    <tableColumn id="11" xr3:uid="{5A39FD33-B251-5041-8B88-5B33BFD6B2FC}" name="Column5" dataDxfId="24"/>
    <tableColumn id="12" xr3:uid="{CF21C245-91A7-BB49-9363-D365711ABDF3}" name="Column6" dataDxfId="23"/>
    <tableColumn id="13" xr3:uid="{B44C18CE-6E00-724D-B4CD-609ADE475EB9}" name="Column7" dataDxfId="22"/>
    <tableColumn id="14" xr3:uid="{901CE9F9-D8E2-2E46-9384-039CDF6A0ABF}" name="Column8" dataDxfId="21"/>
    <tableColumn id="15" xr3:uid="{964E2ED5-56C5-014E-BF41-7C68744CD8FA}" name="Column9" dataDxfId="20"/>
    <tableColumn id="16" xr3:uid="{BDC3BBC8-C722-A94E-89BC-53601B603859}" name="Column10" dataDxfId="19"/>
    <tableColumn id="17" xr3:uid="{6085284D-3498-D640-B82F-39D5127439B9}" name="Column11" dataDxfId="1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17">
  <autoFilter ref="A1:C15" xr:uid="{155EBD5E-3DA9-7C4C-98B7-91D73ABBCBEA}"/>
  <tableColumns count="3">
    <tableColumn id="1" xr3:uid="{AE3CEFB8-A81B-1945-B935-54D9C303AE90}" name="XP" dataDxfId="16"/>
    <tableColumn id="2" xr3:uid="{BC117F6B-7A72-794E-A7A9-35C1983CB4DB}" name="Level" dataDxfId="15"/>
    <tableColumn id="3" xr3:uid="{B8412833-42B8-AC4F-8B3F-0E354215D314}" name="Expertise" dataDxfId="1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13" dataDxfId="12">
  <autoFilter ref="E1:G14" xr:uid="{5644FF1C-D713-604E-8E6F-FA601D66BB9F}"/>
  <tableColumns count="3">
    <tableColumn id="1" xr3:uid="{3666EECD-8766-9142-ADF8-3E0E7512115A}" name="Rank" dataDxfId="11"/>
    <tableColumn id="2" xr3:uid="{73A0B26C-75CB-ED4F-882C-B1AFE5834235}" name="XP" dataDxfId="10">
      <calculatedColumnFormula>F1+G1</calculatedColumnFormula>
    </tableColumn>
    <tableColumn id="3" xr3:uid="{51D4A3E4-3DB9-124B-945D-53E6771F1494}" name="XP_ADD" dataDxfId="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8">
  <autoFilter ref="I1:L10" xr:uid="{8133F681-167D-F049-9826-3312B39E818C}"/>
  <tableColumns count="4">
    <tableColumn id="1" xr3:uid="{48A52C97-1904-CD46-80EA-064E09AAF69B}" name="Type"/>
    <tableColumn id="2" xr3:uid="{38C00C01-3C20-6D47-A5EB-F3A7BEAEC051}" name="Armor" dataDxfId="7"/>
    <tableColumn id="3" xr3:uid="{EE898554-2F74-C149-B88C-AF12B4508BF3}" name="INI" dataDxfId="6"/>
    <tableColumn id="4" xr3:uid="{F349EE49-F581-BB4C-8F32-35834A1E04BF}" name="Movement" dataDxfId="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4">
  <autoFilter ref="O1:S10" xr:uid="{2A1B3E48-F34C-174D-8FBD-7A506A55BF41}"/>
  <tableColumns count="5">
    <tableColumn id="1" xr3:uid="{94233833-88FD-1A4A-B618-9CFA4BB779D8}" name="Type"/>
    <tableColumn id="2" xr3:uid="{65FF8683-7DAD-9541-BA3F-72C23BBAA524}" name="Armor" dataDxfId="3"/>
    <tableColumn id="4" xr3:uid="{0071B3F4-3F31-4840-9341-10D8AB7C1EFB}" name="INI" dataDxfId="2"/>
    <tableColumn id="5" xr3:uid="{0770FF4B-C599-B144-8E09-19F1C8E836A2}" name="Movement" dataDxfId="1"/>
    <tableColumn id="6" xr3:uid="{E5FDFDB6-BBF2-DC42-8D85-B230C4C6AECD}" name="Dodg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80" dataDxfId="279">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78" totalsRowDxfId="277"/>
    <tableColumn id="2" xr3:uid="{9BCB48E4-DBE3-5942-8D75-286CC1057954}" name="Code" totalsRowFunction="custom" dataDxfId="276" totalsRowDxfId="275">
      <totalsRowFormula>SUM(Table1[[#Totals],[Bought]:[Expert]])</totalsRowFormula>
    </tableColumn>
    <tableColumn id="3" xr3:uid="{CA9C36A3-6157-BA4C-AA92-67A100D27609}" name="Bought" totalsRowFunction="custom" dataDxfId="274" totalsRowDxfId="273">
      <totalsRowFormula>COUNTIF(Table1[Bought], "Yes") * 2</totalsRowFormula>
    </tableColumn>
    <tableColumn id="4" xr3:uid="{CA0D2A17-FBA4-5E4F-B125-4C070D8788C4}" name="Skilled" totalsRowFunction="custom" dataDxfId="272" totalsRowDxfId="271">
      <totalsRowFormula>COUNTIF(Table1[Skilled], "Yes") * 3</totalsRowFormula>
    </tableColumn>
    <tableColumn id="5" xr3:uid="{A7566064-06E8-8E44-98CD-C54733321306}" name="Expert" totalsRowFunction="custom" dataDxfId="270" totalsRowDxfId="269">
      <totalsRowFormula>COUNTIF(Table1[Expert], "Yes") * 3</totalsRowFormula>
    </tableColumn>
    <tableColumn id="7" xr3:uid="{2FBFFF7E-FF36-3B4A-B953-C82904D36913}" name="DICE" dataDxfId="268" totalsRowDxfId="267"/>
    <tableColumn id="8" xr3:uid="{C8BCD9D1-3FE9-3647-A609-5788CD8AB7AD}" name="START" dataDxfId="266" totalsRowDxfId="265"/>
    <tableColumn id="14" xr3:uid="{6C3C1930-198A-CA42-8563-974CFD7E82BB}" name="RACE" dataDxfId="264" totalsRowDxfId="263"/>
    <tableColumn id="9" xr3:uid="{22F7BDEA-1AD8-5343-8765-89D3F14F6903}" name="PROF" dataDxfId="262" totalsRowDxfId="261">
      <calculatedColumnFormula>VLOOKUP(PROF,Table7[],Table7[[#Headers],[STR]],FALSE)</calculatedColumnFormula>
    </tableColumn>
    <tableColumn id="10" xr3:uid="{2075AAEA-B6EA-0E43-A822-11D62BB1BE24}" name="EQ." dataDxfId="260" totalsRowDxfId="259"/>
    <tableColumn id="6" xr3:uid="{0AD5C3C3-BBF8-D24A-B215-5FCDD41C3025}" name="Weapons" dataDxfId="258" totalsRowDxfId="257"/>
    <tableColumn id="11" xr3:uid="{97BDD625-37C1-2848-8E6B-2AB44DBA88F9}" name="BONUS" dataDxfId="256" totalsRowDxfId="255"/>
    <tableColumn id="12" xr3:uid="{5E1E8E4D-E523-3C4D-9FE9-AB8CFD8BE3A1}" name="TOTAL" dataDxfId="254" totalsRowDxfId="253">
      <calculatedColumnFormula>SUM(Table1[[#This Row],[START]:[BONUS]])</calculatedColumnFormula>
    </tableColumn>
    <tableColumn id="13" xr3:uid="{B331F653-0EE6-C649-97EB-5E84A49DCF84}" name="STAT" dataDxfId="252" totalsRowDxfId="251">
      <calculatedColumnFormula>ROUNDUP(Table1[[#This Row],[TOTAL]]/10, 0)</calculatedColumnFormula>
    </tableColumn>
    <tableColumn id="15" xr3:uid="{E9A47421-916C-7F48-A22E-F14FB2F5F313}" name="Roll" dataDxfId="250" totalsRowDxfId="249">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44" dataDxfId="243">
  <tableColumns count="11">
    <tableColumn id="1" xr3:uid="{488891F9-A380-104B-B93D-C02458C8FA29}" name="Name" totalsRowLabel="Total" dataDxfId="242" totalsRowDxfId="241"/>
    <tableColumn id="2" xr3:uid="{93A5AD0F-341D-E245-AF40-3EAD21FC48A0}" name="Statistic" totalsRowFunction="custom" dataDxfId="240" totalsRowDxfId="239">
      <totalsRowFormula>SUM(Table2[[#Totals],[Bought]:[Expert]])</totalsRowFormula>
    </tableColumn>
    <tableColumn id="3" xr3:uid="{FE35E503-2EA7-A343-99C7-C5C5899FC054}" name="Bought" totalsRowFunction="custom" dataDxfId="238" totalsRowDxfId="237">
      <totalsRowFormula>COUNTIF(Table2[Bought],"Yes") * 2</totalsRowFormula>
    </tableColumn>
    <tableColumn id="4" xr3:uid="{98DF01DF-054B-914B-974E-8AF998FF4E53}" name="Skilled" totalsRowFunction="custom" dataDxfId="236" totalsRowDxfId="235">
      <totalsRowFormula>COUNTIF(Table2[Skilled],"Yes") * 3</totalsRowFormula>
    </tableColumn>
    <tableColumn id="5" xr3:uid="{C62BCE48-B5FF-6A47-AA15-86C6BDEC45D6}" name="Professional" totalsRowFunction="custom" dataDxfId="234" totalsRowDxfId="233">
      <totalsRowFormula>COUNTIF(Table2[Professional],"Yes") * 4</totalsRowFormula>
    </tableColumn>
    <tableColumn id="6" xr3:uid="{D9F29455-4DAB-6A40-8A17-0CA575126A74}" name="Expert" totalsRowFunction="custom" dataDxfId="232" totalsRowDxfId="231">
      <totalsRowFormula>COUNTIF(Table2[Skilled],"Yes") * 5</totalsRowFormula>
    </tableColumn>
    <tableColumn id="8" xr3:uid="{D32EF9E9-A539-8B41-871A-B89EA355F651}" name="DICE" dataDxfId="230" totalsRowDxfId="229">
      <calculatedColumnFormula>IF(C2="Yes","1d20","1d10")</calculatedColumnFormula>
    </tableColumn>
    <tableColumn id="9" xr3:uid="{C1A4C07D-E510-A944-A562-B1C910EB2898}" name="STAT" dataDxfId="228" totalsRowDxfId="227">
      <calculatedColumnFormula>IF(Table2[[#This Row],[Skilled]] = "YES",VLOOKUP(Table2[[#This Row],[Statistic]],Table1[[Code]:[STAT]],13,FALSE), 0)</calculatedColumnFormula>
    </tableColumn>
    <tableColumn id="10" xr3:uid="{0B24A7B2-5A09-214A-A140-1714C5D361A4}" name="LEVEL" dataDxfId="226" totalsRowDxfId="225">
      <calculatedColumnFormula>IF(Table2[[#This Row],[Professional]]="Yes",LVL,0)</calculatedColumnFormula>
    </tableColumn>
    <tableColumn id="11" xr3:uid="{356CD671-6933-4E45-8BBD-9402E92B4106}" name="EXP." dataDxfId="224" totalsRowDxfId="223"/>
    <tableColumn id="12" xr3:uid="{28D63D3F-7CDE-BD4A-8D01-F7FC776D2F9A}" name="TOTAL" dataDxfId="222" totalsRowDxfId="221">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18" dataDxfId="217">
  <tableColumns count="11">
    <tableColumn id="1" xr3:uid="{87BB9924-DBC9-8B4C-98A3-1C64069A7F16}" name="Name" totalsRowLabel="Total" dataDxfId="216" totalsRowDxfId="215"/>
    <tableColumn id="2" xr3:uid="{C7B0EDCD-3736-3443-8494-C77B335F22CF}" name="Statistic" totalsRowFunction="custom" dataDxfId="214" totalsRowDxfId="213">
      <totalsRowFormula>SUM(Table217[[#Totals],[Bought]:[Expert]])</totalsRowFormula>
    </tableColumn>
    <tableColumn id="3" xr3:uid="{DB3431C6-D27C-1F4F-A527-26C5173FD0AF}" name="Bought" totalsRowFunction="custom" dataDxfId="212" totalsRowDxfId="211">
      <totalsRowFormula>COUNTIF(Table217[Bought],"Yes") * 2</totalsRowFormula>
    </tableColumn>
    <tableColumn id="4" xr3:uid="{16801E44-9587-1F43-A05D-A6A621B7D92E}" name="Skilled" totalsRowFunction="custom" dataDxfId="210" totalsRowDxfId="209">
      <totalsRowFormula>COUNTIF(Table217[Skilled],"Yes") * 3</totalsRowFormula>
    </tableColumn>
    <tableColumn id="5" xr3:uid="{831CD727-7203-A442-90B2-7454C8FF3483}" name="Professional" totalsRowFunction="custom" dataDxfId="208" totalsRowDxfId="207">
      <totalsRowFormula>COUNTIF(Table217[Professional],"Yes") * 4</totalsRowFormula>
    </tableColumn>
    <tableColumn id="6" xr3:uid="{29019F01-4B37-FD41-BF61-39E9F80E0220}" name="Expert" totalsRowFunction="custom" dataDxfId="206" totalsRowDxfId="205">
      <totalsRowFormula>COUNTIF(Table217[Skilled],"Yes") * 5</totalsRowFormula>
    </tableColumn>
    <tableColumn id="8" xr3:uid="{9DA99A80-D4A2-7245-9FF6-F208EE342709}" name="DICE" dataDxfId="204" totalsRowDxfId="203">
      <calculatedColumnFormula>IF(C2="Yes","1d20","1d10")</calculatedColumnFormula>
    </tableColumn>
    <tableColumn id="9" xr3:uid="{C3CB34DA-A904-9C4B-8C33-222761B6D7D2}" name="STAT" dataDxfId="202" totalsRowDxfId="201">
      <calculatedColumnFormula>IF(Table217[[#This Row],[Skilled]] = "YES",VLOOKUP(Table217[[#This Row],[Statistic]],Table1[[Code]:[STAT]],13,FALSE), 0)</calculatedColumnFormula>
    </tableColumn>
    <tableColumn id="10" xr3:uid="{AA0D7124-EB80-8D45-8B3A-B710D5C942D2}" name="LEVEL" dataDxfId="200" totalsRowDxfId="199">
      <calculatedColumnFormula>IF(Table217[[#This Row],[Professional]]="Yes",LVL,0)</calculatedColumnFormula>
    </tableColumn>
    <tableColumn id="11" xr3:uid="{6DA8214E-CFCE-1F48-9C1E-1466DBBCA419}" name="EXP." dataDxfId="198" totalsRowDxfId="197"/>
    <tableColumn id="12" xr3:uid="{44A80818-EE79-AD41-B43E-D9EA1EB5457F}" name="TOTAL" dataDxfId="196" totalsRowDxfId="195">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20" totalsRowCount="1" headerRowDxfId="194" dataDxfId="193">
  <tableColumns count="12">
    <tableColumn id="1" xr3:uid="{AAE218F1-975D-6E4D-A78F-7D9CFE3F2D85}" name="Name" dataDxfId="192" totalsRowDxfId="191"/>
    <tableColumn id="2" xr3:uid="{D6530EC6-244B-1342-B158-F1BF3AB28116}" name="Rank" dataDxfId="190" totalsRowDxfId="189"/>
    <tableColumn id="3" xr3:uid="{06E3316B-0582-394A-BC3E-83FCA17E3605}" name="Weapon" dataDxfId="188" totalsRowDxfId="187"/>
    <tableColumn id="12" xr3:uid="{DFE40438-CA22-3D44-8C0F-517F5D131F5B}" name="Equip." dataDxfId="186" totalsRowDxfId="185"/>
    <tableColumn id="4" xr3:uid="{D4781ED7-4593-8541-BEFE-6294607C35A6}" name="Special" dataDxfId="184" totalsRowDxfId="183"/>
    <tableColumn id="10" xr3:uid="{F3DF0F91-E598-724D-9337-DE5DFBDAB49E}" name="TotalRank" dataDxfId="182" totalsRowDxfId="181">
      <calculatedColumnFormula>SUM(Table9[[#This Row],[Rank]:[Special]])</calculatedColumnFormula>
    </tableColumn>
    <tableColumn id="5" xr3:uid="{0D510646-E339-4D49-AC64-0E9893C8F3DB}" name="Factor" dataDxfId="180" totalsRowDxfId="179"/>
    <tableColumn id="6" xr3:uid="{7B2CF3F3-396A-4840-8DAE-8804AB543E30}" name="Prefix" dataDxfId="178" totalsRowDxfId="177"/>
    <tableColumn id="7" xr3:uid="{83E2A74F-B858-6946-B767-CA721DD0DE12}" name="Postfix" dataDxfId="176" totalsRowDxfId="175"/>
    <tableColumn id="11" xr3:uid="{ADBF929F-A437-7A42-B5EE-CA1C4C9D4880}" name="CALC" dataDxfId="174" totalsRowDxfId="173"/>
    <tableColumn id="8" xr3:uid="{0BF9FD32-BE0B-AC4D-B2C3-0AE1CD340401}" name="Result" dataDxfId="172" totalsRowDxfId="171">
      <calculatedColumnFormula>Table9[[#This Row],[Prefix]] &amp; SUM(Table9[[#This Row],[Rank]:[Special]])*Table9[[#This Row],[Factor]] &amp; Table9[[#This Row],[Postfix]]</calculatedColumnFormula>
    </tableColumn>
    <tableColumn id="9" xr3:uid="{0D1C4892-DA2B-BC49-8BD4-B5FF578B67AD}" name="XP" totalsRowFunction="custom" dataDxfId="170" totalsRowDxfId="169">
      <calculatedColumnFormula>IFERROR(VLOOKUP(Table9[[#This Row],[Rank]],RANK_LOOKUP,2,FALSE),0)</calculatedColumnFormula>
      <totalsRowFormula>SUM(Table9[XP])</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168" dataDxfId="167">
  <autoFilter ref="A2:V21" xr:uid="{B162921F-791F-624A-81ED-6E2D19AD3439}"/>
  <tableColumns count="22">
    <tableColumn id="1" xr3:uid="{D6AFC6F4-56C5-B94E-AAD7-C07A92ACC04B}" name="Location" totalsRowLabel="Total" dataDxfId="166" totalsRowDxfId="165"/>
    <tableColumn id="2" xr3:uid="{6EC0F666-8D61-D644-BCAC-A4117F1781F2}" name="Name" dataDxfId="164" totalsRowDxfId="163"/>
    <tableColumn id="3" xr3:uid="{FDC3F4BD-A2FD-6648-8EE1-D8B4F6108857}" name="Enabled" dataDxfId="162" totalsRowDxfId="161"/>
    <tableColumn id="4" xr3:uid="{6BD01D3C-E517-274F-87F1-974D9398BA72}" name="DMG" totalsRowFunction="custom" dataDxfId="160" totalsRowDxfId="159">
      <totalsRowFormula>SUMIF(Table12[Enabled],"Yes",Table12[DMG])</totalsRowFormula>
    </tableColumn>
    <tableColumn id="5" xr3:uid="{1E15D738-D79A-244C-851E-E57C038AF8E0}" name="Stamina" totalsRowFunction="custom" dataDxfId="158" totalsRowDxfId="157">
      <totalsRowFormula>SUMIF(Table12[Enabled],"Yes",Table12[Stamina])</totalsRowFormula>
    </tableColumn>
    <tableColumn id="6" xr3:uid="{4356B910-7F96-084F-A9BD-24B81A1D65C2}" name="Crit" totalsRowFunction="custom" dataDxfId="156" totalsRowDxfId="155">
      <totalsRowFormula>SUMIF(Table12[Enabled],"Yes",Table12[Stamina])</totalsRowFormula>
    </tableColumn>
    <tableColumn id="7" xr3:uid="{34D53967-FE59-F548-9D59-EBF5A5FF3B80}" name="Crit DMG" totalsRowFunction="custom" dataDxfId="154" totalsRowDxfId="153">
      <totalsRowFormula>SUMIF(Table12[Enabled],"Yes",Table12[Crit DMG])</totalsRowFormula>
    </tableColumn>
    <tableColumn id="8" xr3:uid="{D37EF853-D2F7-214A-83D0-086F59F00DC8}" name="Splash" totalsRowFunction="custom" dataDxfId="152" totalsRowDxfId="151">
      <totalsRowFormula>SUMIF(Table12[Enabled],"Yes",Table12[Splash])</totalsRowFormula>
    </tableColumn>
    <tableColumn id="9" xr3:uid="{5DE5E55B-8076-214A-88F0-165C9D5589AB}" name="Splash _x000a_DMG" totalsRowFunction="custom" dataDxfId="150" totalsRowDxfId="149">
      <totalsRowFormula>SUMIF(Table12[Enabled],"Yes",Table12[Splash 
DMG])</totalsRowFormula>
    </tableColumn>
    <tableColumn id="10" xr3:uid="{1CB3B9C9-B073-D24E-A036-62CB1C097282}" name="Exprt." totalsRowFunction="custom" dataDxfId="148" totalsRowDxfId="147">
      <totalsRowFormula>SUMIF(Table12[Enabled],"Yes",Table12[Exprt.])</totalsRowFormula>
    </tableColumn>
    <tableColumn id="11" xr3:uid="{80F0809C-2100-2247-9ADB-01576F8CA19B}" name="Mvmt." totalsRowFunction="custom" dataDxfId="146" totalsRowDxfId="145">
      <totalsRowFormula>SUMIF(Table12[Enabled],"Yes",Table12[Mvmt.])</totalsRowFormula>
    </tableColumn>
    <tableColumn id="12" xr3:uid="{100B3365-5937-EA45-886B-E3DFD195C5B2}" name="Extra _x000a_Attack" totalsRowFunction="custom" dataDxfId="144" totalsRowDxfId="143">
      <totalsRowFormula>SUMIF(Table12[Enabled],"Yes",Table12[Extra 
Attack])</totalsRowFormula>
    </tableColumn>
    <tableColumn id="13" xr3:uid="{5594E278-21E8-A14C-ADBC-E8B9C800F93B}" name="Armor" totalsRowFunction="custom" dataDxfId="142" totalsRowDxfId="141">
      <totalsRowFormula>SUMIF(Table12[Enabled],"Yes",Table12[Armor])</totalsRowFormula>
    </tableColumn>
    <tableColumn id="14" xr3:uid="{CB23327D-EFF8-A342-A9DE-65E1B7BC4BE3}" name="Aura" totalsRowFunction="custom" dataDxfId="140" totalsRowDxfId="139">
      <totalsRowFormula>SUMIF(Table12[Enabled],"Yes",Table12[Aura])</totalsRowFormula>
    </tableColumn>
    <tableColumn id="15" xr3:uid="{B0438D6C-EBB6-7D45-9116-94CBEFB8D439}" name="Directed Strike" totalsRowFunction="custom" dataDxfId="138" totalsRowDxfId="137">
      <totalsRowFormula>SUMIF(Table12[Enabled],"Yes",Table12[Directed Strike])</totalsRowFormula>
    </tableColumn>
    <tableColumn id="16" xr3:uid="{0C0196AE-E23B-644F-8625-5FFF406E7239}" name="INI" totalsRowFunction="custom" dataDxfId="136" totalsRowDxfId="135">
      <totalsRowFormula>SUMIF(Table12[Enabled],"Yes",Table12[INI])</totalsRowFormula>
    </tableColumn>
    <tableColumn id="17" xr3:uid="{0CE5E91F-F441-3541-ACBF-9B6E8F3D32BE}" name="STR" totalsRowFunction="custom" dataDxfId="134" totalsRowDxfId="133">
      <totalsRowFormula>SUMIF(Table12[Enabled],"Yes",Table12[STR])</totalsRowFormula>
    </tableColumn>
    <tableColumn id="18" xr3:uid="{CE0B6C3F-7775-4E44-8CAD-EB5E7ED373D8}" name="AGI" totalsRowFunction="custom" dataDxfId="132" totalsRowDxfId="131">
      <totalsRowFormula>SUMIF(Table12[Enabled],"Yes",Table12[AGI])</totalsRowFormula>
    </tableColumn>
    <tableColumn id="19" xr3:uid="{DD3C9C3F-31EB-7F48-83CE-9607AADE61CE}" name="INU" totalsRowFunction="custom" dataDxfId="130" totalsRowDxfId="129">
      <totalsRowFormula>SUMIF(Table12[Enabled],"Yes",Table12[INU])</totalsRowFormula>
    </tableColumn>
    <tableColumn id="20" xr3:uid="{93C1F38D-CC0D-9F4E-AFB2-B3B60FA2E230}" name="CHA" totalsRowFunction="custom" dataDxfId="128" totalsRowDxfId="127">
      <totalsRowFormula>SUMIF(Table12[Enabled],"Yes",Table12[CHA])</totalsRowFormula>
    </tableColumn>
    <tableColumn id="21" xr3:uid="{86EE74A2-267E-5244-ADE0-325523D5DAF0}" name="PER" totalsRowFunction="custom" dataDxfId="126" totalsRowDxfId="125">
      <totalsRowFormula>SUMIF(Table12[Enabled],"Yes",Table12[PER])</totalsRowFormula>
    </tableColumn>
    <tableColumn id="23" xr3:uid="{DBC245A7-FD67-824A-B01B-CDA3F14F2832}" name="Description" dataDxfId="124" totalsRowDxfId="12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AA22" totalsRowCount="1" headerRowDxfId="122" dataDxfId="121">
  <autoFilter ref="A2:AA21" xr:uid="{B162921F-791F-624A-81ED-6E2D19AD3439}"/>
  <tableColumns count="27">
    <tableColumn id="2" xr3:uid="{E56D130D-99FD-2946-944B-A51CABD832AC}" name="Name" dataDxfId="120" totalsRowDxfId="119"/>
    <tableColumn id="3" xr3:uid="{BC699B2A-E436-DD44-83B3-3C0AAF24FC76}" name="Enabled" dataDxfId="118" totalsRowDxfId="117"/>
    <tableColumn id="25" xr3:uid="{DE34C382-31A8-114A-B47A-484AE873AF1F}" name="Type" dataDxfId="116" totalsRowDxfId="115"/>
    <tableColumn id="24" xr3:uid="{8B9165EA-408B-0644-BD6C-7AF334F6ACD8}" name="#" dataDxfId="114" totalsRowDxfId="113"/>
    <tableColumn id="23" xr3:uid="{ECE39BFF-43E4-2240-9FE3-1B3C6A2CD436}" name="Dice" dataDxfId="112" totalsRowDxfId="111"/>
    <tableColumn id="26" xr3:uid="{3AA6F904-F0B0-9449-8DDC-3027E3A4BE30}" name="Constant" dataDxfId="110" totalsRowDxfId="109"/>
    <tableColumn id="22" xr3:uid="{E209AE0C-255B-2449-B26F-DEE2F0E8CF23}" name="INI" dataDxfId="108" totalsRowDxfId="107"/>
    <tableColumn id="4" xr3:uid="{B47ADA7A-75BF-8845-B1F4-51CE35E67214}" name="DMG" totalsRowFunction="custom" dataDxfId="106" totalsRowDxfId="105">
      <totalsRowFormula>SUMIF(Table1218[Enabled],"Yes",Table1218[DMG])</totalsRowFormula>
    </tableColumn>
    <tableColumn id="5" xr3:uid="{A56869D3-EF92-704B-9000-BD3D1B486A75}" name="Stamina" totalsRowFunction="custom" dataDxfId="104" totalsRowDxfId="103">
      <totalsRowFormula>SUMIF(Table1218[Enabled],"Yes",Table1218[Stamina])</totalsRowFormula>
    </tableColumn>
    <tableColumn id="6" xr3:uid="{4399BDD2-0759-9445-AC6C-05B3B499C492}" name="Crit" totalsRowFunction="custom" dataDxfId="102" totalsRowDxfId="101">
      <totalsRowFormula>SUMIF(Table1218[Enabled],"Yes",Table1218[Crit])</totalsRowFormula>
    </tableColumn>
    <tableColumn id="7" xr3:uid="{D6B38714-0E9C-D649-BFE5-49596BA9BF1C}" name="Crit DMG" totalsRowFunction="custom" dataDxfId="100" totalsRowDxfId="99">
      <totalsRowFormula>SUMIF(Table1218[Enabled],"Yes",Table1218[Crit DMG])</totalsRowFormula>
    </tableColumn>
    <tableColumn id="8" xr3:uid="{9519CA17-112B-224B-952F-51AC027496F6}" name="Splash" totalsRowFunction="custom" dataDxfId="98" totalsRowDxfId="97">
      <totalsRowFormula>SUMIF(Table1218[Enabled],"Yes",Table1218[Splash])</totalsRowFormula>
    </tableColumn>
    <tableColumn id="9" xr3:uid="{429CA498-92FA-A74E-BC4B-6663D9D8CABA}" name="Splash _x000a_DMG" totalsRowFunction="custom" dataDxfId="96" totalsRowDxfId="95">
      <totalsRowFormula>SUMIF(Table1218[Enabled],"Yes",Table1218[Splash 
DMG])</totalsRowFormula>
    </tableColumn>
    <tableColumn id="10" xr3:uid="{37D7FA16-18E2-6842-926B-EFE8BBF1B1DF}" name="Exprt." totalsRowFunction="custom" dataDxfId="94" totalsRowDxfId="93">
      <totalsRowFormula>SUMIF(Table1218[Enabled],"Yes",Table1218[Exprt.])</totalsRowFormula>
    </tableColumn>
    <tableColumn id="11" xr3:uid="{25A44E44-0A05-AC4D-8AB4-EE74A0BFFAED}" name="Mvmt." totalsRowFunction="custom" dataDxfId="92" totalsRowDxfId="91">
      <totalsRowFormula>SUMIF(Table1218[Enabled],"Yes",Table1218[Mvmt.])</totalsRowFormula>
    </tableColumn>
    <tableColumn id="12" xr3:uid="{9162589E-4452-B14F-84BF-BA8ADF153104}" name="Extra _x000a_Attack" totalsRowFunction="custom" dataDxfId="90" totalsRowDxfId="89">
      <totalsRowFormula>SUMIF(Table1218[Enabled],"Yes",Table1218[Extra 
Attack])</totalsRowFormula>
    </tableColumn>
    <tableColumn id="13" xr3:uid="{76EB8C7B-5213-1A46-B243-DA8120143C97}" name="Armor" totalsRowFunction="custom" dataDxfId="88" totalsRowDxfId="87">
      <totalsRowFormula>SUMIF(Table1218[Enabled],"Yes",Table1218[Armor])</totalsRowFormula>
    </tableColumn>
    <tableColumn id="14" xr3:uid="{7694EA49-563E-1E43-AAAE-55BA11A1C48C}" name="Aura" totalsRowFunction="custom" dataDxfId="86" totalsRowDxfId="85">
      <totalsRowFormula>SUMIF(Table1218[Enabled],"Yes",Table1218[Aura])</totalsRowFormula>
    </tableColumn>
    <tableColumn id="15" xr3:uid="{8C961621-41FF-2948-9B22-39E0CDEE8A7E}" name="Directed Strike" totalsRowFunction="custom" dataDxfId="84" totalsRowDxfId="83">
      <totalsRowFormula>SUMIF(Table1218[Enabled],"Yes",Table1218[Directed Strike])</totalsRowFormula>
    </tableColumn>
    <tableColumn id="1" xr3:uid="{7A2D1CD4-98D1-6F4E-B0A1-5BF54AE2F9B7}" name="AP" totalsRowFunction="custom" dataDxfId="82" totalsRowDxfId="81">
      <totalsRowFormula>SUMIF(Table1218[Enabled],"Yes",Table1218[AP])</totalsRowFormula>
    </tableColumn>
    <tableColumn id="16" xr3:uid="{C1A5919F-5B4B-C442-8BBB-F57C37FB2FEE}" name="INI2" totalsRowFunction="custom" dataDxfId="80" totalsRowDxfId="79">
      <totalsRowFormula>SUMIF(Table1218[Enabled],"Yes",Table1218[INI2])</totalsRowFormula>
    </tableColumn>
    <tableColumn id="17" xr3:uid="{93F7A8DA-DC28-864F-8239-7E93AD5F7188}" name="STR" totalsRowFunction="custom" dataDxfId="78" totalsRowDxfId="77">
      <totalsRowFormula>SUMIF(Table1218[Enabled],"Yes",Table1218[STR])</totalsRowFormula>
    </tableColumn>
    <tableColumn id="18" xr3:uid="{5E33A6F3-45E5-B14F-8A37-AE470CDA5006}" name="AGI" totalsRowFunction="custom" dataDxfId="76" totalsRowDxfId="75">
      <totalsRowFormula>SUMIF(Table1218[Enabled],"Yes",Table1218[AGI])</totalsRowFormula>
    </tableColumn>
    <tableColumn id="19" xr3:uid="{47674090-5365-2D4F-B2B6-FA5831CE6013}" name="INU" totalsRowFunction="custom" dataDxfId="74" totalsRowDxfId="73">
      <totalsRowFormula>SUMIF(Table1218[Enabled],"Yes",Table1218[INU])</totalsRowFormula>
    </tableColumn>
    <tableColumn id="20" xr3:uid="{180A191A-7E92-F146-BDD6-AFE6A0673A36}" name="CHA" totalsRowFunction="custom" dataDxfId="72" totalsRowDxfId="71">
      <totalsRowFormula>SUMIF(Table1218[Enabled],"Yes",Table1218[CHA])</totalsRowFormula>
    </tableColumn>
    <tableColumn id="21" xr3:uid="{66B45B9E-7117-9F4B-9D86-B2A72231074D}" name="PER" totalsRowFunction="custom" dataDxfId="70" totalsRowDxfId="69">
      <totalsRowFormula>SUMIF(Table1218[Enabled],"Yes",Table1218[PER])</totalsRowFormula>
    </tableColumn>
    <tableColumn id="27" xr3:uid="{D8540632-FC51-0D4F-8B9C-2BD5CF3D48BD}" name="Result" dataDxfId="68" totalsRowDxfId="67">
      <calculatedColumnFormula>Table1218[[#This Row],[Name]] &amp; ": " &amp; Table1218[[#This Row],['#]] &amp; "d" &amp; Table1218[[#This Row],[Dice]] &amp; "+" &amp; Table1218[[#This Row],[Constant]] &amp; "+" &amp; IF(Table1218[[#This Row],[Type]]="Melee",STR, 0) + IF(Table1218[[#This Row],[Type]]="Ranged",AGI, 0) + IF(Table1218[[#This Row],[Type]]="Magic",INU,0) &amp; FEAT_DMG &amp; "  INI:" &amp; Table1218[[#This Row],[INI]]</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39" totalsRowCount="1" dataDxfId="66">
  <autoFilter ref="A1:G38" xr:uid="{AB73435D-1DA5-9D4D-A3C2-6FDD431734AF}"/>
  <tableColumns count="7">
    <tableColumn id="1" xr3:uid="{D3222AC0-22D0-884F-9ACB-057509AFE854}" name="Name" totalsRowLabel="Total" dataDxfId="65"/>
    <tableColumn id="2" xr3:uid="{599153C8-C04F-1E43-B915-4EFDDAA10575}" name="Type" dataDxfId="64"/>
    <tableColumn id="3" xr3:uid="{EDEC5936-D857-284D-9D36-956AFDD7675E}" name="Rank" dataDxfId="63"/>
    <tableColumn id="4" xr3:uid="{82D28D72-C87E-9B4A-8903-1B6710B17B31}" name="Level" dataDxfId="62"/>
    <tableColumn id="7" xr3:uid="{5BDFB085-66F9-084D-91F0-257513610F8E}" name="Enabled" dataDxfId="61"/>
    <tableColumn id="5" xr3:uid="{DEE6DAA2-9721-9744-96FC-C77D47077D88}" name="XP" totalsRowFunction="custom" dataDxfId="60" totalsRowDxfId="59">
      <totalsRowFormula>SUMIF(Table18[Enabled],"=Yes",Table18[XP])</totalsRowFormula>
    </tableColumn>
    <tableColumn id="6" xr3:uid="{6625A40C-80FB-224A-BEEB-A3A7B1CB18A8}" name="Description" dataDxfId="5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57" dataDxfId="56">
  <autoFilter ref="A1:R33" xr:uid="{9A133D1A-1408-9A4D-B1A8-016FBFDDF397}"/>
  <tableColumns count="18">
    <tableColumn id="1" xr3:uid="{8A7DFF72-A39A-0242-878A-A43522EFE24F}" name="Name" dataDxfId="55"/>
    <tableColumn id="2" xr3:uid="{1E867DD1-2259-0F42-8DE6-24E3B57FB023}" name="STR" dataDxfId="54"/>
    <tableColumn id="3" xr3:uid="{8B62FCC6-44AF-3745-9B75-FB2CB998E35C}" name="AGI" dataDxfId="53"/>
    <tableColumn id="4" xr3:uid="{A2E15CA6-9E2A-1344-A6EF-BEDA148248DE}" name="INU" dataDxfId="52"/>
    <tableColumn id="18" xr3:uid="{403E2468-C5FB-E940-8CC9-FA9C085C6CA2}" name="CHA" dataDxfId="51"/>
    <tableColumn id="5" xr3:uid="{6997B2AE-7002-964B-8C6B-EF465FAF82EA}" name="PER" dataDxfId="50"/>
    <tableColumn id="6" xr3:uid="{052C7C9D-EB8C-4640-8FD3-30EDB4571A40}" name="HP Factor" dataDxfId="49"/>
    <tableColumn id="7" xr3:uid="{CB645AD0-0F06-3B43-B1B3-E6D435FC9BBC}" name="XP" dataDxfId="48"/>
    <tableColumn id="8" xr3:uid="{187B0803-25C6-8643-B93A-30A61D579311}" name="Column2" dataDxfId="47"/>
    <tableColumn id="9" xr3:uid="{D5FA0FDA-C465-914B-9F10-275BED958455}" name="Column3" dataDxfId="46"/>
    <tableColumn id="10" xr3:uid="{E91B6F4A-B437-F54C-B449-1103036C5B36}" name="Column4" dataDxfId="45"/>
    <tableColumn id="11" xr3:uid="{916C933F-3F60-A640-86EB-CA547F95B9D7}" name="Column5" dataDxfId="44"/>
    <tableColumn id="12" xr3:uid="{C2E89ECD-3CE6-DF4A-8BED-C99396B26E38}" name="Column6" dataDxfId="43"/>
    <tableColumn id="13" xr3:uid="{584B2452-4E2B-914C-AEF2-657C6BD496DB}" name="Column7" dataDxfId="42"/>
    <tableColumn id="14" xr3:uid="{ACFF4731-2977-724C-BEA0-BF0E750D4D37}" name="Column8" dataDxfId="41"/>
    <tableColumn id="15" xr3:uid="{13FA1501-6896-C04C-AC18-9E866978A015}" name="Column9" dataDxfId="40"/>
    <tableColumn id="16" xr3:uid="{8673696E-720C-DF47-836C-C07175E535C6}" name="Column10" dataDxfId="39"/>
    <tableColumn id="17" xr3:uid="{2177733D-A9EC-574A-81A2-DCB7E8D34927}" name="Column11" dataDxfId="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1"/>
  <sheetViews>
    <sheetView tabSelected="1" zoomScale="160" zoomScaleNormal="160" workbookViewId="0">
      <selection activeCell="AZ16" sqref="AZ16"/>
    </sheetView>
  </sheetViews>
  <sheetFormatPr baseColWidth="10" defaultRowHeight="16" x14ac:dyDescent="0.2"/>
  <cols>
    <col min="1" max="50" width="1.83203125" style="29" customWidth="1"/>
    <col min="51" max="54" width="3.83203125" style="29" customWidth="1"/>
    <col min="55" max="55" width="3.5" style="29" customWidth="1"/>
    <col min="56" max="160" width="3.83203125" style="29" customWidth="1"/>
    <col min="161" max="16384" width="10.83203125" style="29"/>
  </cols>
  <sheetData>
    <row r="1" spans="2:57" ht="10" customHeight="1" x14ac:dyDescent="0.2"/>
    <row r="2" spans="2:57" ht="10" customHeight="1" x14ac:dyDescent="0.2">
      <c r="B2" s="103" t="str">
        <f>CHARACTER_NAME</f>
        <v>Barbie</v>
      </c>
      <c r="C2" s="103"/>
      <c r="D2" s="103"/>
      <c r="E2" s="103"/>
      <c r="F2" s="103"/>
      <c r="G2" s="103"/>
      <c r="H2" s="103"/>
      <c r="I2" s="103"/>
      <c r="J2" s="103"/>
      <c r="K2" s="103"/>
      <c r="L2" s="103"/>
      <c r="M2" s="103"/>
      <c r="N2" s="103"/>
      <c r="O2" s="103"/>
      <c r="S2" s="98" t="str">
        <f>CHARACTER_RACE</f>
        <v>Indir</v>
      </c>
      <c r="T2" s="98"/>
      <c r="U2" s="98"/>
      <c r="V2" s="98"/>
      <c r="W2" s="98"/>
      <c r="X2" s="98"/>
      <c r="Y2" s="98"/>
      <c r="Z2" s="98"/>
      <c r="AB2" s="98" t="str">
        <f>CHARACTER_PROFESSION</f>
        <v>Barbarian</v>
      </c>
      <c r="AC2" s="98"/>
      <c r="AD2" s="98"/>
      <c r="AE2" s="98"/>
      <c r="AF2" s="98"/>
      <c r="AG2" s="98"/>
      <c r="AH2" s="98"/>
      <c r="AI2" s="98"/>
      <c r="AN2" s="104">
        <f>TOTAL_XP</f>
        <v>80</v>
      </c>
      <c r="AO2" s="104"/>
      <c r="AP2" s="104"/>
      <c r="AQ2" s="104"/>
      <c r="AS2" s="104">
        <f>LVL</f>
        <v>5</v>
      </c>
      <c r="AT2" s="104"/>
      <c r="AU2" s="104"/>
      <c r="AV2" s="104"/>
      <c r="BE2" s="47"/>
    </row>
    <row r="3" spans="2:57" ht="10" customHeight="1" x14ac:dyDescent="0.2">
      <c r="B3" s="103"/>
      <c r="C3" s="103"/>
      <c r="D3" s="103"/>
      <c r="E3" s="103"/>
      <c r="F3" s="103"/>
      <c r="G3" s="103"/>
      <c r="H3" s="103"/>
      <c r="I3" s="103"/>
      <c r="J3" s="103"/>
      <c r="K3" s="103"/>
      <c r="L3" s="103"/>
      <c r="M3" s="103"/>
      <c r="N3" s="103"/>
      <c r="O3" s="103"/>
      <c r="S3" s="99"/>
      <c r="T3" s="99"/>
      <c r="U3" s="99"/>
      <c r="V3" s="99"/>
      <c r="W3" s="99"/>
      <c r="X3" s="99"/>
      <c r="Y3" s="99"/>
      <c r="Z3" s="99"/>
      <c r="AB3" s="99"/>
      <c r="AC3" s="99"/>
      <c r="AD3" s="99"/>
      <c r="AE3" s="99"/>
      <c r="AF3" s="99"/>
      <c r="AG3" s="99"/>
      <c r="AH3" s="99"/>
      <c r="AI3" s="99"/>
      <c r="AN3" s="104"/>
      <c r="AO3" s="104"/>
      <c r="AP3" s="104"/>
      <c r="AQ3" s="104"/>
      <c r="AS3" s="104"/>
      <c r="AT3" s="104"/>
      <c r="AU3" s="104"/>
      <c r="AV3" s="104"/>
    </row>
    <row r="4" spans="2:57" ht="10" customHeight="1" x14ac:dyDescent="0.2">
      <c r="B4" s="103"/>
      <c r="C4" s="103"/>
      <c r="D4" s="103"/>
      <c r="E4" s="103"/>
      <c r="F4" s="103"/>
      <c r="G4" s="103"/>
      <c r="H4" s="103"/>
      <c r="I4" s="103"/>
      <c r="J4" s="103"/>
      <c r="K4" s="103"/>
      <c r="L4" s="103"/>
      <c r="M4" s="103"/>
      <c r="N4" s="103"/>
      <c r="O4" s="103"/>
      <c r="S4" s="36" t="s">
        <v>50</v>
      </c>
      <c r="Z4" s="30"/>
      <c r="AB4" s="36" t="s">
        <v>201</v>
      </c>
      <c r="AI4" s="30"/>
      <c r="AJ4" s="31"/>
      <c r="AK4" s="31"/>
      <c r="AL4" s="31"/>
      <c r="AM4" s="31"/>
      <c r="AN4" s="104"/>
      <c r="AO4" s="104"/>
      <c r="AP4" s="104"/>
      <c r="AQ4" s="104"/>
      <c r="AR4" s="31"/>
      <c r="AS4" s="104"/>
      <c r="AT4" s="104"/>
      <c r="AU4" s="104"/>
      <c r="AV4" s="104"/>
    </row>
    <row r="5" spans="2:57" ht="10" customHeight="1" x14ac:dyDescent="0.2">
      <c r="B5" s="97"/>
      <c r="C5" s="97"/>
      <c r="D5" s="32"/>
      <c r="E5" s="97"/>
      <c r="F5" s="97"/>
      <c r="Z5" s="30"/>
      <c r="AB5" s="31"/>
      <c r="AC5" s="31"/>
      <c r="AD5" s="31"/>
      <c r="AE5" s="31"/>
      <c r="AF5" s="31"/>
      <c r="AG5" s="31"/>
      <c r="AH5" s="31"/>
      <c r="AI5" s="31"/>
      <c r="AJ5" s="31"/>
      <c r="AK5" s="31"/>
      <c r="AL5" s="31"/>
      <c r="AM5" s="31"/>
      <c r="AN5" s="105"/>
      <c r="AO5" s="105"/>
      <c r="AP5" s="105"/>
      <c r="AQ5" s="105"/>
      <c r="AR5" s="31"/>
      <c r="AS5" s="105"/>
      <c r="AT5" s="105"/>
      <c r="AU5" s="105"/>
      <c r="AV5" s="105"/>
    </row>
    <row r="6" spans="2:57" ht="10" customHeight="1" x14ac:dyDescent="0.2">
      <c r="F6" s="32"/>
      <c r="AN6" s="106" t="s">
        <v>52</v>
      </c>
      <c r="AO6" s="106"/>
      <c r="AP6" s="106"/>
      <c r="AQ6" s="106"/>
      <c r="AR6" s="31"/>
      <c r="AS6" s="106" t="s">
        <v>41</v>
      </c>
      <c r="AT6" s="106"/>
      <c r="AU6" s="106"/>
      <c r="AV6" s="106"/>
    </row>
    <row r="7" spans="2:57" ht="10" customHeight="1" thickBot="1" x14ac:dyDescent="0.25">
      <c r="F7" s="32"/>
      <c r="AP7" s="31"/>
      <c r="AQ7" s="31"/>
      <c r="AR7" s="31"/>
      <c r="AS7" s="31"/>
      <c r="AT7" s="31"/>
    </row>
    <row r="8" spans="2:57" ht="10" customHeight="1" thickTop="1" x14ac:dyDescent="0.2">
      <c r="B8" s="87" t="s">
        <v>30</v>
      </c>
      <c r="C8" s="88"/>
      <c r="D8" s="88"/>
      <c r="E8" s="89"/>
      <c r="F8" s="32"/>
      <c r="H8" s="100" t="s">
        <v>101</v>
      </c>
      <c r="I8" s="101"/>
      <c r="J8" s="101"/>
      <c r="K8" s="102"/>
      <c r="M8" s="100" t="s">
        <v>121</v>
      </c>
      <c r="N8" s="101"/>
      <c r="O8" s="101"/>
      <c r="P8" s="102"/>
      <c r="R8" s="100" t="s">
        <v>122</v>
      </c>
      <c r="S8" s="101"/>
      <c r="T8" s="101"/>
      <c r="U8" s="102"/>
      <c r="W8" s="100" t="s">
        <v>69</v>
      </c>
      <c r="X8" s="101"/>
      <c r="Y8" s="101"/>
      <c r="Z8" s="102"/>
      <c r="AB8" s="100" t="s">
        <v>118</v>
      </c>
      <c r="AC8" s="101"/>
      <c r="AD8" s="101"/>
      <c r="AE8" s="102"/>
      <c r="AF8" s="31"/>
      <c r="AG8" s="100" t="s">
        <v>206</v>
      </c>
      <c r="AH8" s="101"/>
      <c r="AI8" s="101"/>
      <c r="AJ8" s="102"/>
      <c r="AK8" s="31"/>
      <c r="AL8" s="100" t="s">
        <v>216</v>
      </c>
      <c r="AM8" s="101"/>
      <c r="AN8" s="101"/>
      <c r="AO8" s="102"/>
      <c r="AQ8" s="100" t="s">
        <v>210</v>
      </c>
      <c r="AR8" s="101"/>
      <c r="AS8" s="101"/>
      <c r="AT8" s="102"/>
    </row>
    <row r="9" spans="2:57" ht="10" customHeight="1" x14ac:dyDescent="0.2">
      <c r="B9" s="90">
        <f>STR</f>
        <v>8</v>
      </c>
      <c r="C9" s="91"/>
      <c r="D9" s="91"/>
      <c r="E9" s="92"/>
      <c r="F9" s="32"/>
      <c r="H9" s="107">
        <f>CHARACTER_HP</f>
        <v>145</v>
      </c>
      <c r="I9" s="108"/>
      <c r="J9" s="108"/>
      <c r="K9" s="109"/>
      <c r="M9" s="107">
        <f>CHARACTER_ARMOR</f>
        <v>2</v>
      </c>
      <c r="N9" s="108"/>
      <c r="O9" s="108"/>
      <c r="P9" s="109"/>
      <c r="R9" s="107">
        <f>CHARACTER_AURA</f>
        <v>1</v>
      </c>
      <c r="S9" s="108"/>
      <c r="T9" s="108"/>
      <c r="U9" s="109"/>
      <c r="W9" s="107">
        <f>CHARACTER_EXPERTISE</f>
        <v>2</v>
      </c>
      <c r="X9" s="108"/>
      <c r="Y9" s="108"/>
      <c r="Z9" s="109"/>
      <c r="AB9" s="107">
        <f>CHARACTER_MOVEMENT</f>
        <v>14</v>
      </c>
      <c r="AC9" s="108"/>
      <c r="AD9" s="108"/>
      <c r="AE9" s="109"/>
      <c r="AF9" s="31"/>
      <c r="AG9" s="107">
        <f>CHARACTER_INI</f>
        <v>24</v>
      </c>
      <c r="AH9" s="108"/>
      <c r="AI9" s="108"/>
      <c r="AJ9" s="109"/>
      <c r="AK9" s="31"/>
      <c r="AL9" s="107" t="str">
        <f>FEAT_INI</f>
        <v>4</v>
      </c>
      <c r="AM9" s="108"/>
      <c r="AN9" s="108"/>
      <c r="AO9" s="109"/>
      <c r="AQ9" s="107">
        <f>CHARACTER_AP</f>
        <v>3</v>
      </c>
      <c r="AR9" s="108"/>
      <c r="AS9" s="108"/>
      <c r="AT9" s="109"/>
    </row>
    <row r="10" spans="2:57" ht="10" customHeight="1" x14ac:dyDescent="0.2">
      <c r="B10" s="90"/>
      <c r="C10" s="91"/>
      <c r="D10" s="91"/>
      <c r="E10" s="92"/>
      <c r="F10" s="32"/>
      <c r="H10" s="107"/>
      <c r="I10" s="108"/>
      <c r="J10" s="108"/>
      <c r="K10" s="109"/>
      <c r="M10" s="107"/>
      <c r="N10" s="108"/>
      <c r="O10" s="108"/>
      <c r="P10" s="109"/>
      <c r="R10" s="107"/>
      <c r="S10" s="108"/>
      <c r="T10" s="108"/>
      <c r="U10" s="109"/>
      <c r="W10" s="107"/>
      <c r="X10" s="108"/>
      <c r="Y10" s="108"/>
      <c r="Z10" s="109"/>
      <c r="AB10" s="107"/>
      <c r="AC10" s="108"/>
      <c r="AD10" s="108"/>
      <c r="AE10" s="109"/>
      <c r="AF10" s="31"/>
      <c r="AG10" s="107"/>
      <c r="AH10" s="108"/>
      <c r="AI10" s="108"/>
      <c r="AJ10" s="109"/>
      <c r="AK10" s="31"/>
      <c r="AL10" s="107"/>
      <c r="AM10" s="108"/>
      <c r="AN10" s="108"/>
      <c r="AO10" s="109"/>
      <c r="AP10" s="31"/>
      <c r="AQ10" s="107"/>
      <c r="AR10" s="108"/>
      <c r="AS10" s="108"/>
      <c r="AT10" s="109"/>
    </row>
    <row r="11" spans="2:57" ht="10" customHeight="1" thickBot="1" x14ac:dyDescent="0.25">
      <c r="B11" s="90"/>
      <c r="C11" s="91"/>
      <c r="D11" s="91"/>
      <c r="E11" s="92"/>
      <c r="F11" s="32"/>
      <c r="H11" s="110"/>
      <c r="I11" s="111"/>
      <c r="J11" s="111"/>
      <c r="K11" s="112"/>
      <c r="M11" s="110"/>
      <c r="N11" s="111"/>
      <c r="O11" s="111"/>
      <c r="P11" s="112"/>
      <c r="R11" s="110"/>
      <c r="S11" s="111"/>
      <c r="T11" s="111"/>
      <c r="U11" s="112"/>
      <c r="W11" s="110"/>
      <c r="X11" s="111"/>
      <c r="Y11" s="111"/>
      <c r="Z11" s="112"/>
      <c r="AB11" s="110"/>
      <c r="AC11" s="111"/>
      <c r="AD11" s="111"/>
      <c r="AE11" s="112"/>
      <c r="AF11" s="31"/>
      <c r="AG11" s="110"/>
      <c r="AH11" s="111"/>
      <c r="AI11" s="111"/>
      <c r="AJ11" s="112"/>
      <c r="AK11" s="31"/>
      <c r="AL11" s="110"/>
      <c r="AM11" s="111"/>
      <c r="AN11" s="111"/>
      <c r="AO11" s="112"/>
      <c r="AP11" s="31"/>
      <c r="AQ11" s="110"/>
      <c r="AR11" s="111"/>
      <c r="AS11" s="111"/>
      <c r="AT11" s="112"/>
    </row>
    <row r="12" spans="2:57" ht="10" customHeight="1" thickTop="1" thickBot="1" x14ac:dyDescent="0.25">
      <c r="B12" s="37"/>
      <c r="C12" s="93">
        <f>STR_TOTAL</f>
        <v>71</v>
      </c>
      <c r="D12" s="94"/>
      <c r="E12" s="38"/>
      <c r="F12" s="32"/>
      <c r="G12" s="36"/>
      <c r="H12" s="36"/>
      <c r="I12" s="36"/>
      <c r="J12" s="36"/>
      <c r="K12" s="36"/>
      <c r="L12" s="36"/>
      <c r="M12" s="36"/>
      <c r="N12" s="36"/>
      <c r="O12" s="36"/>
      <c r="P12" s="36"/>
      <c r="Q12" s="36"/>
      <c r="R12" s="36"/>
      <c r="S12" s="36"/>
      <c r="T12" s="36"/>
      <c r="U12" s="36"/>
      <c r="V12" s="36"/>
      <c r="W12" s="36"/>
      <c r="X12" s="36"/>
      <c r="Y12" s="36"/>
      <c r="Z12" s="36"/>
      <c r="AA12" s="36"/>
      <c r="AB12" s="39"/>
      <c r="AC12" s="39"/>
      <c r="AD12" s="39"/>
      <c r="AE12" s="39"/>
      <c r="AF12" s="39"/>
      <c r="AK12" s="39"/>
      <c r="AL12" s="39"/>
      <c r="AM12" s="39"/>
      <c r="AN12" s="39"/>
      <c r="AO12" s="39"/>
      <c r="AP12" s="39"/>
      <c r="AQ12" s="39"/>
      <c r="AR12" s="39"/>
      <c r="AW12" s="36"/>
    </row>
    <row r="13" spans="2:57" ht="10" customHeight="1" x14ac:dyDescent="0.15">
      <c r="B13" s="33"/>
      <c r="C13" s="95"/>
      <c r="D13" s="96"/>
      <c r="E13" s="32"/>
      <c r="F13" s="32"/>
      <c r="G13" s="36"/>
      <c r="H13" s="44" t="str">
        <f>INDEX(Skills!$A$1:$K$34,2,1)</f>
        <v>Weapon Skill</v>
      </c>
      <c r="I13" s="45"/>
      <c r="J13" s="45"/>
      <c r="K13" s="45"/>
      <c r="L13" s="45"/>
      <c r="M13" s="45"/>
      <c r="N13" s="40" t="str">
        <f>INDEX(Table2[[#Headers],[#Data]],2,11)</f>
        <v>1d20 + 13</v>
      </c>
      <c r="O13" s="40"/>
      <c r="P13" s="40"/>
      <c r="Q13" s="41"/>
      <c r="R13" s="36"/>
      <c r="S13" s="51" t="s">
        <v>109</v>
      </c>
      <c r="T13" s="40"/>
      <c r="U13" s="40"/>
      <c r="V13" s="40"/>
      <c r="W13" s="40"/>
      <c r="X13" s="40"/>
      <c r="Y13" s="59" t="str">
        <f>INDEX(FEATS,ROW(A1),11)</f>
        <v>+5</v>
      </c>
      <c r="Z13" s="53"/>
      <c r="AA13" s="53"/>
      <c r="AB13" s="54"/>
      <c r="AC13" s="36"/>
      <c r="AE13" s="85" t="s">
        <v>88</v>
      </c>
      <c r="AF13" s="85"/>
      <c r="AG13" s="85"/>
      <c r="AH13" s="85"/>
      <c r="AI13" s="85"/>
      <c r="AJ13" s="85"/>
      <c r="AK13" s="85"/>
      <c r="AL13" s="85"/>
      <c r="AM13" s="85"/>
      <c r="AN13" s="85"/>
      <c r="AO13" s="85"/>
      <c r="AP13" s="85"/>
      <c r="AQ13" s="85"/>
      <c r="AR13" s="85"/>
      <c r="AS13" s="85"/>
      <c r="AT13" s="85"/>
      <c r="AU13" s="85"/>
      <c r="AV13" s="85"/>
      <c r="AW13" s="85"/>
    </row>
    <row r="14" spans="2:57" ht="10" customHeight="1" thickBot="1" x14ac:dyDescent="0.2">
      <c r="B14" s="33"/>
      <c r="C14" s="33"/>
      <c r="D14" s="32"/>
      <c r="E14" s="32"/>
      <c r="F14" s="32"/>
      <c r="G14" s="36"/>
      <c r="H14" s="46" t="str">
        <f>INDEX(Skills!$A$1:$K$34,3,1)</f>
        <v>Unarmed Skill</v>
      </c>
      <c r="I14" s="47"/>
      <c r="J14" s="47"/>
      <c r="K14" s="47"/>
      <c r="L14" s="47"/>
      <c r="M14" s="47"/>
      <c r="N14" s="42" t="str">
        <f>INDEX(Table2[[#Headers],[#Data]],3,11)</f>
        <v>1d10 + 0</v>
      </c>
      <c r="O14" s="42"/>
      <c r="P14" s="42"/>
      <c r="Q14" s="43"/>
      <c r="R14" s="36"/>
      <c r="S14" s="52" t="s">
        <v>111</v>
      </c>
      <c r="T14" s="42"/>
      <c r="U14" s="42"/>
      <c r="V14" s="42"/>
      <c r="W14" s="42"/>
      <c r="X14" s="42"/>
      <c r="Y14" s="58" t="str">
        <f>INDEX(FEATS,ROW(A2),11)</f>
        <v>+5</v>
      </c>
      <c r="AA14" s="55"/>
      <c r="AB14" s="56"/>
      <c r="AC14" s="36"/>
      <c r="AE14" s="86"/>
      <c r="AF14" s="86"/>
      <c r="AG14" s="86"/>
      <c r="AH14" s="86"/>
      <c r="AI14" s="86"/>
      <c r="AJ14" s="86"/>
      <c r="AK14" s="86"/>
      <c r="AL14" s="86"/>
      <c r="AM14" s="86"/>
      <c r="AN14" s="86"/>
      <c r="AO14" s="86"/>
      <c r="AP14" s="86"/>
      <c r="AQ14" s="86"/>
      <c r="AR14" s="86"/>
      <c r="AS14" s="86"/>
      <c r="AT14" s="86"/>
      <c r="AU14" s="86"/>
      <c r="AV14" s="86"/>
      <c r="AW14" s="86"/>
    </row>
    <row r="15" spans="2:57" ht="10" customHeight="1" x14ac:dyDescent="0.15">
      <c r="B15" s="87" t="s">
        <v>31</v>
      </c>
      <c r="C15" s="88"/>
      <c r="D15" s="88"/>
      <c r="E15" s="89"/>
      <c r="F15" s="32"/>
      <c r="G15" s="36"/>
      <c r="H15" s="46" t="str">
        <f>INDEX(Skills!$A$1:$K$34,4,1)</f>
        <v>Dodge</v>
      </c>
      <c r="I15" s="47"/>
      <c r="J15" s="47"/>
      <c r="K15" s="47"/>
      <c r="L15" s="47"/>
      <c r="M15" s="47"/>
      <c r="N15" s="42" t="str">
        <f>INDEX(Table2[[#Headers],[#Data]],4,11)</f>
        <v>1d10 + 0</v>
      </c>
      <c r="O15" s="42"/>
      <c r="P15" s="42"/>
      <c r="Q15" s="43"/>
      <c r="R15" s="36"/>
      <c r="S15" s="52" t="s">
        <v>112</v>
      </c>
      <c r="T15" s="42"/>
      <c r="U15" s="42"/>
      <c r="V15" s="42"/>
      <c r="W15" s="42"/>
      <c r="X15" s="42"/>
      <c r="Y15" s="58" t="str">
        <f>INDEX(FEATS,3,11)</f>
        <v>18</v>
      </c>
      <c r="AA15" s="55"/>
      <c r="AB15" s="56"/>
      <c r="AC15" s="36"/>
      <c r="AE15" s="36"/>
      <c r="AF15" s="36"/>
      <c r="AG15" s="36"/>
      <c r="AH15" s="36"/>
      <c r="AI15" s="36"/>
      <c r="AJ15" s="36"/>
      <c r="AK15" s="36"/>
      <c r="AL15" s="36"/>
      <c r="AM15" s="36"/>
      <c r="AN15" s="39"/>
      <c r="AO15" s="39"/>
      <c r="AP15" s="39"/>
      <c r="AQ15" s="39"/>
      <c r="AR15" s="39"/>
      <c r="AS15" s="39"/>
      <c r="AT15" s="39"/>
      <c r="AU15" s="36"/>
      <c r="AV15" s="36"/>
      <c r="AW15" s="36"/>
    </row>
    <row r="16" spans="2:57" ht="10" customHeight="1" x14ac:dyDescent="0.2">
      <c r="B16" s="90">
        <f>AGI</f>
        <v>1</v>
      </c>
      <c r="C16" s="91"/>
      <c r="D16" s="91"/>
      <c r="E16" s="92"/>
      <c r="F16" s="32"/>
      <c r="G16" s="36"/>
      <c r="H16" s="46" t="str">
        <f>INDEX(Skills!$A$1:$K$34,5,1)</f>
        <v>Ballistic Skill</v>
      </c>
      <c r="I16" s="47"/>
      <c r="J16" s="47"/>
      <c r="K16" s="47"/>
      <c r="L16" s="47"/>
      <c r="M16" s="47"/>
      <c r="N16" s="42" t="str">
        <f>INDEX(Table2[[#Headers],[#Data]],5,11)</f>
        <v>1d10 + 0</v>
      </c>
      <c r="O16" s="42"/>
      <c r="P16" s="42"/>
      <c r="Q16" s="43"/>
      <c r="R16" s="36"/>
      <c r="S16" s="52" t="s">
        <v>114</v>
      </c>
      <c r="T16" s="42"/>
      <c r="U16" s="42"/>
      <c r="V16" s="42"/>
      <c r="W16" s="42"/>
      <c r="X16" s="42"/>
      <c r="Y16" s="58" t="str">
        <f t="shared" ref="Y16:Y26" si="0">INDEX(FEATS,ROW(A4),11)</f>
        <v>+3d4</v>
      </c>
      <c r="AA16" s="55"/>
      <c r="AB16" s="56"/>
      <c r="AC16" s="36"/>
      <c r="AE16" s="116" t="str">
        <f>Weapons!AA3</f>
        <v>Great Axe: 2d12+2+8+5  INI:18</v>
      </c>
      <c r="AF16" s="116"/>
      <c r="AG16" s="116"/>
      <c r="AH16" s="116"/>
      <c r="AI16" s="116"/>
      <c r="AJ16" s="116"/>
      <c r="AK16" s="116"/>
      <c r="AL16" s="116"/>
      <c r="AM16" s="116"/>
      <c r="AN16" s="116"/>
      <c r="AO16" s="116"/>
      <c r="AP16" s="116"/>
      <c r="AQ16" s="116"/>
      <c r="AR16" s="116"/>
      <c r="AS16" s="116"/>
      <c r="AT16" s="116"/>
      <c r="AU16" s="116"/>
      <c r="AV16" s="116"/>
      <c r="AW16" s="116"/>
      <c r="AX16" s="78"/>
      <c r="AY16" s="78"/>
      <c r="AZ16" s="78"/>
      <c r="BA16" s="78"/>
      <c r="BB16" s="78"/>
      <c r="BC16" s="78"/>
      <c r="BD16" s="20"/>
    </row>
    <row r="17" spans="2:59" ht="10" customHeight="1" x14ac:dyDescent="0.25">
      <c r="B17" s="90"/>
      <c r="C17" s="91"/>
      <c r="D17" s="91"/>
      <c r="E17" s="92"/>
      <c r="F17" s="32"/>
      <c r="G17" s="36"/>
      <c r="H17" s="46" t="str">
        <f>INDEX(Skills!$A$1:$K$34,6,1)</f>
        <v>Tactics</v>
      </c>
      <c r="I17" s="47"/>
      <c r="J17" s="47"/>
      <c r="K17" s="47"/>
      <c r="L17" s="47"/>
      <c r="M17" s="47"/>
      <c r="N17" s="42" t="str">
        <f>INDEX(Table2[[#Headers],[#Data]],6,11)</f>
        <v>1d10 + 0</v>
      </c>
      <c r="O17" s="42"/>
      <c r="P17" s="42"/>
      <c r="Q17" s="43"/>
      <c r="R17" s="36"/>
      <c r="S17" s="52" t="s">
        <v>116</v>
      </c>
      <c r="T17" s="42"/>
      <c r="U17" s="42"/>
      <c r="V17" s="42"/>
      <c r="W17" s="42"/>
      <c r="X17" s="42"/>
      <c r="Y17" s="58" t="str">
        <f t="shared" si="0"/>
        <v>0%</v>
      </c>
      <c r="AA17" s="55"/>
      <c r="AB17" s="56"/>
      <c r="AC17" s="36"/>
      <c r="AE17" s="48"/>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77"/>
    </row>
    <row r="18" spans="2:59" ht="10" customHeight="1" x14ac:dyDescent="0.15">
      <c r="B18" s="90"/>
      <c r="C18" s="91"/>
      <c r="D18" s="91"/>
      <c r="E18" s="92"/>
      <c r="F18" s="32"/>
      <c r="G18" s="36"/>
      <c r="H18" s="46" t="str">
        <f>INDEX(Skills!$A$1:$K$34,7,1)</f>
        <v>Acrobatics</v>
      </c>
      <c r="I18" s="47"/>
      <c r="J18" s="47"/>
      <c r="K18" s="47"/>
      <c r="L18" s="47"/>
      <c r="M18" s="47"/>
      <c r="N18" s="42" t="str">
        <f>INDEX(Table2[[#Headers],[#Data]],7,11)</f>
        <v>1d10 + 0</v>
      </c>
      <c r="O18" s="42"/>
      <c r="P18" s="42"/>
      <c r="Q18" s="43"/>
      <c r="R18" s="36"/>
      <c r="S18" s="52" t="s">
        <v>123</v>
      </c>
      <c r="T18" s="42"/>
      <c r="U18" s="42"/>
      <c r="V18" s="42"/>
      <c r="W18" s="42"/>
      <c r="X18" s="42"/>
      <c r="Y18" s="58" t="str">
        <f t="shared" si="0"/>
        <v>+0d4</v>
      </c>
      <c r="AA18" s="55"/>
      <c r="AB18" s="56"/>
      <c r="AC18" s="36"/>
      <c r="AE18" s="42"/>
      <c r="AF18" s="42"/>
      <c r="AG18" s="42"/>
      <c r="AH18" s="42"/>
      <c r="AI18" s="42"/>
      <c r="AJ18" s="42"/>
      <c r="AK18" s="42"/>
      <c r="AL18" s="42"/>
      <c r="AM18" s="42"/>
      <c r="AN18" s="42"/>
      <c r="AO18" s="42"/>
      <c r="AP18" s="42"/>
      <c r="AQ18" s="55"/>
      <c r="AR18" s="55"/>
      <c r="AS18" s="55"/>
      <c r="AT18" s="55"/>
      <c r="AU18" s="42"/>
      <c r="AV18" s="42"/>
      <c r="AW18" s="42"/>
      <c r="AX18" s="32"/>
      <c r="AY18" s="32"/>
      <c r="AZ18" s="32"/>
      <c r="BA18" s="32"/>
      <c r="BB18" s="32"/>
      <c r="BC18" s="32"/>
    </row>
    <row r="19" spans="2:59" ht="10" customHeight="1" thickBot="1" x14ac:dyDescent="0.2">
      <c r="B19" s="34"/>
      <c r="C19" s="93">
        <f>AGI_TOTAL</f>
        <v>5</v>
      </c>
      <c r="D19" s="94"/>
      <c r="E19" s="35"/>
      <c r="F19" s="32"/>
      <c r="G19" s="36"/>
      <c r="H19" s="46" t="str">
        <f>INDEX(Skills!$A$1:$K$34,8,1)</f>
        <v>Magic Skill</v>
      </c>
      <c r="I19" s="47"/>
      <c r="J19" s="47"/>
      <c r="K19" s="47"/>
      <c r="L19" s="47"/>
      <c r="M19" s="47"/>
      <c r="N19" s="42" t="str">
        <f>INDEX(Table2[[#Headers],[#Data]],8,11)</f>
        <v>1d10 + 0</v>
      </c>
      <c r="O19" s="42"/>
      <c r="P19" s="42"/>
      <c r="Q19" s="43"/>
      <c r="R19" s="36"/>
      <c r="S19" s="52" t="s">
        <v>69</v>
      </c>
      <c r="T19" s="42"/>
      <c r="U19" s="42"/>
      <c r="V19" s="42"/>
      <c r="W19" s="42"/>
      <c r="X19" s="42"/>
      <c r="Y19" s="58" t="str">
        <f t="shared" si="0"/>
        <v>+0</v>
      </c>
      <c r="AA19" s="55"/>
      <c r="AB19" s="56"/>
      <c r="AC19" s="36"/>
      <c r="AE19" s="36"/>
      <c r="AF19" s="36"/>
      <c r="AG19" s="36"/>
      <c r="AH19" s="36"/>
      <c r="AI19" s="36"/>
      <c r="AJ19" s="36"/>
      <c r="AK19" s="36"/>
      <c r="AL19" s="36"/>
      <c r="AM19" s="36"/>
      <c r="AN19" s="36"/>
      <c r="AO19" s="36"/>
      <c r="AP19" s="36"/>
      <c r="AQ19" s="39"/>
      <c r="AR19" s="39"/>
      <c r="AS19" s="39"/>
      <c r="AT19" s="39"/>
      <c r="AU19" s="36"/>
      <c r="AV19" s="36"/>
      <c r="AW19" s="36"/>
    </row>
    <row r="20" spans="2:59" ht="10" customHeight="1" x14ac:dyDescent="0.15">
      <c r="B20" s="33"/>
      <c r="C20" s="95"/>
      <c r="D20" s="96"/>
      <c r="E20" s="32"/>
      <c r="F20" s="32"/>
      <c r="G20" s="36"/>
      <c r="H20" s="46" t="str">
        <f>INDEX(Skills!$A$1:$K$34,9,1)</f>
        <v>Arcane Lore</v>
      </c>
      <c r="I20" s="47"/>
      <c r="J20" s="47"/>
      <c r="K20" s="47"/>
      <c r="L20" s="47"/>
      <c r="M20" s="47"/>
      <c r="N20" s="42" t="str">
        <f>INDEX(Table2[[#Headers],[#Data]],9,11)</f>
        <v>1d10 + 0</v>
      </c>
      <c r="O20" s="42"/>
      <c r="P20" s="42"/>
      <c r="Q20" s="43"/>
      <c r="R20" s="36"/>
      <c r="S20" s="52" t="s">
        <v>118</v>
      </c>
      <c r="T20" s="42"/>
      <c r="U20" s="42"/>
      <c r="V20" s="42"/>
      <c r="W20" s="42"/>
      <c r="X20" s="42"/>
      <c r="Y20" s="58" t="str">
        <f t="shared" si="0"/>
        <v>+4ft</v>
      </c>
      <c r="AA20" s="55"/>
      <c r="AB20" s="56"/>
      <c r="AC20" s="36"/>
      <c r="AE20" s="36"/>
      <c r="AF20" s="36"/>
      <c r="AG20" s="36"/>
      <c r="AH20" s="36"/>
      <c r="AI20" s="36"/>
      <c r="AJ20" s="36"/>
      <c r="AK20" s="36"/>
      <c r="AL20" s="36"/>
      <c r="AM20" s="36"/>
      <c r="AN20" s="36"/>
      <c r="AO20" s="36"/>
      <c r="AP20" s="36"/>
      <c r="AQ20" s="39"/>
      <c r="AR20" s="39"/>
      <c r="AS20" s="39"/>
      <c r="AT20" s="39"/>
      <c r="AU20" s="36"/>
      <c r="AV20" s="36"/>
      <c r="AW20" s="36"/>
    </row>
    <row r="21" spans="2:59" ht="10" customHeight="1" thickBot="1" x14ac:dyDescent="0.2">
      <c r="B21" s="32"/>
      <c r="C21" s="32"/>
      <c r="D21" s="32"/>
      <c r="E21" s="32"/>
      <c r="F21" s="32"/>
      <c r="G21" s="36"/>
      <c r="H21" s="46" t="str">
        <f>INDEX(Skills!$A$1:$K$34,10,1)</f>
        <v>Religious Magic</v>
      </c>
      <c r="I21" s="47"/>
      <c r="J21" s="47"/>
      <c r="K21" s="47"/>
      <c r="L21" s="47"/>
      <c r="M21" s="47"/>
      <c r="N21" s="42" t="str">
        <f>INDEX(Table2[[#Headers],[#Data]],10,11)</f>
        <v>1d10 + 0</v>
      </c>
      <c r="O21" s="42"/>
      <c r="P21" s="42"/>
      <c r="Q21" s="43"/>
      <c r="R21" s="36"/>
      <c r="S21" s="52" t="s">
        <v>120</v>
      </c>
      <c r="T21" s="42"/>
      <c r="U21" s="42"/>
      <c r="V21" s="42"/>
      <c r="W21" s="42"/>
      <c r="X21" s="42"/>
      <c r="Y21" s="58" t="str">
        <f t="shared" si="0"/>
        <v>120%</v>
      </c>
      <c r="AA21" s="55"/>
      <c r="AB21" s="56"/>
      <c r="AC21" s="36"/>
      <c r="AE21" s="36"/>
      <c r="AF21" s="36"/>
      <c r="AG21" s="36"/>
      <c r="AH21" s="36"/>
      <c r="AI21" s="36"/>
      <c r="AJ21" s="36"/>
      <c r="AK21" s="36"/>
      <c r="AL21" s="36"/>
      <c r="AM21" s="36"/>
      <c r="AN21" s="39"/>
      <c r="AO21" s="39"/>
      <c r="AP21" s="39"/>
      <c r="AQ21" s="39"/>
      <c r="AR21" s="39"/>
      <c r="AS21" s="39"/>
      <c r="AT21" s="39"/>
      <c r="AU21" s="36"/>
      <c r="AV21" s="36"/>
      <c r="AW21" s="36"/>
      <c r="BA21" s="32"/>
      <c r="BB21" s="32"/>
      <c r="BC21" s="32"/>
      <c r="BD21" s="32"/>
      <c r="BE21" s="32"/>
      <c r="BF21" s="32"/>
      <c r="BG21" s="32"/>
    </row>
    <row r="22" spans="2:59" ht="10" customHeight="1" x14ac:dyDescent="0.15">
      <c r="B22" s="87" t="s">
        <v>32</v>
      </c>
      <c r="C22" s="88"/>
      <c r="D22" s="88"/>
      <c r="E22" s="89"/>
      <c r="F22" s="32"/>
      <c r="G22" s="36"/>
      <c r="H22" s="46" t="str">
        <f>INDEX(Skills!$A$1:$K$34,11,1)</f>
        <v>Religion</v>
      </c>
      <c r="I22" s="47"/>
      <c r="J22" s="47"/>
      <c r="K22" s="47"/>
      <c r="L22" s="47"/>
      <c r="M22" s="47"/>
      <c r="N22" s="42" t="str">
        <f>INDEX(Table2[[#Headers],[#Data]],11,11)</f>
        <v>1d10 + 0</v>
      </c>
      <c r="O22" s="42"/>
      <c r="P22" s="42"/>
      <c r="Q22" s="43"/>
      <c r="R22" s="36"/>
      <c r="S22" s="52" t="s">
        <v>121</v>
      </c>
      <c r="T22" s="42"/>
      <c r="U22" s="42"/>
      <c r="V22" s="42"/>
      <c r="W22" s="42"/>
      <c r="X22" s="42"/>
      <c r="Y22" s="58" t="str">
        <f t="shared" si="0"/>
        <v>+2</v>
      </c>
      <c r="AA22" s="55"/>
      <c r="AB22" s="56"/>
      <c r="AC22" s="36"/>
      <c r="AE22" s="85" t="s">
        <v>66</v>
      </c>
      <c r="AF22" s="85"/>
      <c r="AG22" s="85"/>
      <c r="AH22" s="85"/>
      <c r="AI22" s="85"/>
      <c r="AJ22" s="85"/>
      <c r="AK22" s="85"/>
      <c r="AL22" s="85"/>
      <c r="AM22" s="85"/>
      <c r="AN22" s="85"/>
      <c r="AO22" s="85"/>
      <c r="AP22" s="85"/>
      <c r="AQ22" s="85"/>
      <c r="AR22" s="85"/>
      <c r="AS22" s="85"/>
      <c r="AT22" s="85"/>
      <c r="AU22" s="85"/>
      <c r="AV22" s="85"/>
      <c r="AW22" s="85"/>
      <c r="BA22" s="32"/>
      <c r="BB22" s="32"/>
      <c r="BC22" s="32"/>
      <c r="BD22" s="32"/>
      <c r="BE22" s="32"/>
      <c r="BF22" s="32"/>
      <c r="BG22" s="32"/>
    </row>
    <row r="23" spans="2:59" ht="10" customHeight="1" x14ac:dyDescent="0.15">
      <c r="B23" s="90">
        <f>INU</f>
        <v>2</v>
      </c>
      <c r="C23" s="91"/>
      <c r="D23" s="91"/>
      <c r="E23" s="92"/>
      <c r="F23" s="32"/>
      <c r="G23" s="36"/>
      <c r="H23" s="46" t="str">
        <f>INDEX(Skills!$A$1:$K$34,12,1)</f>
        <v>History</v>
      </c>
      <c r="I23" s="47"/>
      <c r="J23" s="47"/>
      <c r="K23" s="47"/>
      <c r="L23" s="47"/>
      <c r="M23" s="47"/>
      <c r="N23" s="42" t="str">
        <f>INDEX(Table2[[#Headers],[#Data]],12,11)</f>
        <v>1d10 + 0</v>
      </c>
      <c r="O23" s="42"/>
      <c r="P23" s="42"/>
      <c r="Q23" s="43"/>
      <c r="R23" s="36"/>
      <c r="S23" s="52" t="s">
        <v>122</v>
      </c>
      <c r="T23" s="42"/>
      <c r="U23" s="42"/>
      <c r="V23" s="42"/>
      <c r="W23" s="42"/>
      <c r="X23" s="42"/>
      <c r="Y23" s="58" t="str">
        <f t="shared" si="0"/>
        <v>+1</v>
      </c>
      <c r="AA23" s="42"/>
      <c r="AB23" s="43"/>
      <c r="AC23" s="36"/>
      <c r="AD23" s="36"/>
      <c r="AE23" s="86"/>
      <c r="AF23" s="86"/>
      <c r="AG23" s="86"/>
      <c r="AH23" s="86"/>
      <c r="AI23" s="86"/>
      <c r="AJ23" s="86"/>
      <c r="AK23" s="86"/>
      <c r="AL23" s="86"/>
      <c r="AM23" s="86"/>
      <c r="AN23" s="86"/>
      <c r="AO23" s="86"/>
      <c r="AP23" s="86"/>
      <c r="AQ23" s="86"/>
      <c r="AR23" s="86"/>
      <c r="AS23" s="86"/>
      <c r="AT23" s="86"/>
      <c r="AU23" s="86"/>
      <c r="AV23" s="86"/>
      <c r="AW23" s="86"/>
      <c r="BA23" s="32"/>
      <c r="BB23" s="32"/>
      <c r="BC23" s="32"/>
      <c r="BD23" s="32"/>
      <c r="BE23" s="32"/>
      <c r="BF23" s="32"/>
      <c r="BG23" s="32"/>
    </row>
    <row r="24" spans="2:59" ht="10" customHeight="1" x14ac:dyDescent="0.15">
      <c r="B24" s="90"/>
      <c r="C24" s="91"/>
      <c r="D24" s="91"/>
      <c r="E24" s="92"/>
      <c r="F24" s="32"/>
      <c r="G24" s="36"/>
      <c r="H24" s="46" t="str">
        <f>INDEX(Skills!$A$1:$K$34,13,1)</f>
        <v>Animal Handler</v>
      </c>
      <c r="I24" s="47"/>
      <c r="J24" s="47"/>
      <c r="K24" s="47"/>
      <c r="L24" s="47"/>
      <c r="M24" s="47"/>
      <c r="N24" s="42" t="str">
        <f>INDEX(Table2[[#Headers],[#Data]],13,11)</f>
        <v>1d10 + 0</v>
      </c>
      <c r="O24" s="42"/>
      <c r="P24" s="42"/>
      <c r="Q24" s="43"/>
      <c r="R24" s="36"/>
      <c r="S24" s="52" t="s">
        <v>141</v>
      </c>
      <c r="T24" s="42"/>
      <c r="U24" s="42"/>
      <c r="V24" s="42"/>
      <c r="W24" s="42"/>
      <c r="X24" s="42"/>
      <c r="Y24" s="58">
        <f t="shared" si="0"/>
        <v>0</v>
      </c>
      <c r="AA24" s="42"/>
      <c r="AB24" s="43"/>
      <c r="AC24" s="36"/>
      <c r="AD24" s="36"/>
      <c r="AE24" s="36"/>
      <c r="AF24" s="36"/>
      <c r="AG24" s="36"/>
      <c r="AH24" s="36"/>
      <c r="AI24" s="36"/>
      <c r="AJ24" s="36"/>
      <c r="AK24" s="36"/>
      <c r="AL24" s="36"/>
      <c r="AM24" s="36"/>
      <c r="AN24" s="36"/>
      <c r="AO24" s="36"/>
      <c r="AP24" s="36"/>
      <c r="AQ24" s="36"/>
      <c r="AR24" s="36"/>
      <c r="AS24" s="36"/>
      <c r="AT24" s="36"/>
      <c r="AU24" s="36"/>
      <c r="AV24" s="36"/>
      <c r="AW24" s="36"/>
      <c r="BA24" s="32"/>
      <c r="BB24" s="32"/>
      <c r="BC24" s="32"/>
      <c r="BD24" s="32"/>
      <c r="BE24" s="32"/>
      <c r="BF24" s="32"/>
      <c r="BG24" s="32"/>
    </row>
    <row r="25" spans="2:59" ht="10" customHeight="1" x14ac:dyDescent="0.15">
      <c r="B25" s="90"/>
      <c r="C25" s="91"/>
      <c r="D25" s="91"/>
      <c r="E25" s="92"/>
      <c r="F25" s="32"/>
      <c r="G25" s="36"/>
      <c r="H25" s="46" t="str">
        <f>INDEX(Skills!$A$1:$K$34,14,1)</f>
        <v>Insight</v>
      </c>
      <c r="I25" s="47"/>
      <c r="J25" s="47"/>
      <c r="K25" s="47"/>
      <c r="L25" s="47"/>
      <c r="M25" s="47"/>
      <c r="N25" s="42" t="str">
        <f>INDEX(Table2[[#Headers],[#Data]],14,11)</f>
        <v>1d10 + 0</v>
      </c>
      <c r="O25" s="42"/>
      <c r="P25" s="42"/>
      <c r="Q25" s="43"/>
      <c r="R25" s="36"/>
      <c r="S25" s="52" t="s">
        <v>159</v>
      </c>
      <c r="T25" s="42"/>
      <c r="U25" s="42"/>
      <c r="V25" s="42"/>
      <c r="W25" s="42"/>
      <c r="X25" s="42"/>
      <c r="Y25" s="58" t="str">
        <f t="shared" si="0"/>
        <v>4</v>
      </c>
      <c r="AA25" s="42"/>
      <c r="AB25" s="43"/>
      <c r="AC25" s="36"/>
      <c r="AD25" s="36"/>
      <c r="AE25" s="36" t="s">
        <v>282</v>
      </c>
      <c r="AF25" s="36"/>
      <c r="AG25" s="36"/>
      <c r="AH25" s="36"/>
      <c r="AI25" s="36"/>
      <c r="AJ25" s="36"/>
      <c r="AK25" s="36"/>
      <c r="AL25" s="36"/>
      <c r="AM25" s="36"/>
      <c r="AN25" s="36"/>
      <c r="AO25" s="36"/>
      <c r="AP25" s="36"/>
      <c r="AQ25" s="36"/>
      <c r="AR25" s="36"/>
      <c r="AS25" s="36"/>
      <c r="AT25" s="36"/>
      <c r="AU25" s="36"/>
      <c r="AV25" s="36"/>
      <c r="AW25" s="36"/>
      <c r="BA25" s="32"/>
      <c r="BB25" s="32"/>
      <c r="BC25" s="32"/>
      <c r="BD25" s="32"/>
      <c r="BE25" s="32"/>
      <c r="BF25" s="32"/>
      <c r="BG25" s="32"/>
    </row>
    <row r="26" spans="2:59" ht="10" customHeight="1" thickBot="1" x14ac:dyDescent="0.25">
      <c r="B26" s="34"/>
      <c r="C26" s="93">
        <f>INU_TOTAL</f>
        <v>11</v>
      </c>
      <c r="D26" s="94"/>
      <c r="E26" s="35"/>
      <c r="F26" s="32"/>
      <c r="G26" s="36"/>
      <c r="H26" s="46" t="str">
        <f>INDEX(Skills!$A$1:$K$34,15,1)</f>
        <v>Slight of Hand</v>
      </c>
      <c r="I26" s="47"/>
      <c r="J26" s="47"/>
      <c r="K26" s="47"/>
      <c r="L26" s="47"/>
      <c r="M26" s="47"/>
      <c r="N26" s="42" t="str">
        <f>INDEX(Table2[[#Headers],[#Data]],15,11)</f>
        <v>1d10 + 0</v>
      </c>
      <c r="O26" s="42"/>
      <c r="P26" s="42"/>
      <c r="Q26" s="43"/>
      <c r="R26" s="36"/>
      <c r="S26" s="57" t="s">
        <v>210</v>
      </c>
      <c r="T26" s="42"/>
      <c r="U26" s="42"/>
      <c r="V26" s="42"/>
      <c r="W26" s="42"/>
      <c r="X26" s="42"/>
      <c r="Y26" s="58">
        <f t="shared" si="0"/>
        <v>0</v>
      </c>
      <c r="Z26" s="42"/>
      <c r="AA26" s="42"/>
      <c r="AB26" s="43"/>
      <c r="AC26" s="36"/>
      <c r="AD26" s="36"/>
      <c r="AE26" s="117" t="s">
        <v>283</v>
      </c>
      <c r="AF26" s="117"/>
      <c r="AG26" s="117"/>
      <c r="AH26" s="117"/>
      <c r="AI26" s="117"/>
      <c r="AJ26" s="117"/>
      <c r="AK26" s="117"/>
      <c r="AL26" s="117"/>
      <c r="AM26" s="117"/>
      <c r="AN26" s="117"/>
      <c r="AO26" s="117"/>
      <c r="AP26" s="117"/>
      <c r="AQ26" s="117"/>
      <c r="AR26" s="117"/>
      <c r="AS26" s="117"/>
      <c r="AT26" s="117"/>
      <c r="AU26" s="117"/>
      <c r="AV26" s="117"/>
      <c r="AW26" s="117"/>
      <c r="BA26" s="32"/>
      <c r="BB26" s="32"/>
      <c r="BC26" s="71"/>
      <c r="BD26" s="32"/>
      <c r="BE26" s="32"/>
      <c r="BF26" s="32"/>
      <c r="BG26" s="32"/>
    </row>
    <row r="27" spans="2:59" ht="10" customHeight="1" x14ac:dyDescent="0.2">
      <c r="B27" s="33"/>
      <c r="C27" s="95"/>
      <c r="D27" s="96"/>
      <c r="E27" s="32"/>
      <c r="F27" s="32"/>
      <c r="G27" s="36"/>
      <c r="H27" s="46" t="str">
        <f>INDEX(Skills!$A$1:$K$34,16,1)</f>
        <v>Deception</v>
      </c>
      <c r="I27" s="47"/>
      <c r="J27" s="47"/>
      <c r="K27" s="47"/>
      <c r="L27" s="47"/>
      <c r="M27" s="47"/>
      <c r="N27" s="42" t="str">
        <f>INDEX(Table2[[#Headers],[#Data]],16,11)</f>
        <v>1d10 + 0</v>
      </c>
      <c r="O27" s="42"/>
      <c r="P27" s="42"/>
      <c r="Q27" s="43"/>
      <c r="R27" s="36"/>
      <c r="S27" s="57"/>
      <c r="T27" s="42"/>
      <c r="U27" s="42"/>
      <c r="V27" s="42"/>
      <c r="W27" s="42"/>
      <c r="X27" s="42"/>
      <c r="Y27" s="42"/>
      <c r="Z27" s="42"/>
      <c r="AA27" s="42"/>
      <c r="AB27" s="43"/>
      <c r="AC27" s="36"/>
      <c r="AD27" s="36"/>
      <c r="AE27" s="117"/>
      <c r="AF27" s="117"/>
      <c r="AG27" s="117"/>
      <c r="AH27" s="117"/>
      <c r="AI27" s="117"/>
      <c r="AJ27" s="117"/>
      <c r="AK27" s="117"/>
      <c r="AL27" s="117"/>
      <c r="AM27" s="117"/>
      <c r="AN27" s="117"/>
      <c r="AO27" s="117"/>
      <c r="AP27" s="117"/>
      <c r="AQ27" s="117"/>
      <c r="AR27" s="117"/>
      <c r="AS27" s="117"/>
      <c r="AT27" s="117"/>
      <c r="AU27" s="117"/>
      <c r="AV27" s="117"/>
      <c r="AW27" s="117"/>
      <c r="BA27" s="32"/>
      <c r="BB27" s="32"/>
      <c r="BC27" s="32"/>
      <c r="BD27" s="71"/>
      <c r="BE27" s="32"/>
      <c r="BF27" s="32"/>
      <c r="BG27" s="32"/>
    </row>
    <row r="28" spans="2:59" ht="10" customHeight="1" thickBot="1" x14ac:dyDescent="0.25">
      <c r="B28" s="33"/>
      <c r="C28" s="33"/>
      <c r="D28" s="32"/>
      <c r="E28" s="32"/>
      <c r="F28" s="32"/>
      <c r="G28" s="36"/>
      <c r="H28" s="46" t="str">
        <f>INDEX(Skills!$A$1:$K$34,17,1)</f>
        <v>Charm</v>
      </c>
      <c r="I28" s="47"/>
      <c r="J28" s="47"/>
      <c r="K28" s="47"/>
      <c r="L28" s="47"/>
      <c r="M28" s="47"/>
      <c r="N28" s="42" t="str">
        <f>INDEX(Table2[[#Headers],[#Data]],17,11)</f>
        <v>1d10 + 0</v>
      </c>
      <c r="O28" s="42"/>
      <c r="P28" s="42"/>
      <c r="Q28" s="43"/>
      <c r="R28" s="36"/>
      <c r="S28" s="113" t="s">
        <v>63</v>
      </c>
      <c r="T28" s="114"/>
      <c r="U28" s="114"/>
      <c r="V28" s="114"/>
      <c r="W28" s="114"/>
      <c r="X28" s="114"/>
      <c r="Y28" s="114"/>
      <c r="Z28" s="114"/>
      <c r="AA28" s="114"/>
      <c r="AB28" s="115"/>
      <c r="AC28" s="36"/>
      <c r="AD28" s="36"/>
      <c r="AE28" s="36" t="s">
        <v>284</v>
      </c>
      <c r="AF28" s="36"/>
      <c r="AG28" s="36"/>
      <c r="AH28" s="36"/>
      <c r="AI28" s="36"/>
      <c r="AJ28" s="36"/>
      <c r="AK28" s="36"/>
      <c r="AL28" s="36"/>
      <c r="AM28" s="36"/>
      <c r="AN28" s="36"/>
      <c r="AO28" s="36"/>
      <c r="AP28" s="36"/>
      <c r="AQ28" s="36"/>
      <c r="AR28" s="36"/>
      <c r="AS28" s="36"/>
      <c r="AT28" s="36"/>
      <c r="AU28" s="36"/>
      <c r="AV28" s="36"/>
      <c r="AW28" s="36"/>
      <c r="BA28" s="32"/>
      <c r="BB28" s="32"/>
      <c r="BC28" s="32"/>
      <c r="BD28" s="32"/>
      <c r="BE28" s="32"/>
      <c r="BF28" s="32"/>
      <c r="BG28" s="32"/>
    </row>
    <row r="29" spans="2:59" ht="10" customHeight="1" x14ac:dyDescent="0.2">
      <c r="B29" s="87" t="s">
        <v>54</v>
      </c>
      <c r="C29" s="88"/>
      <c r="D29" s="88"/>
      <c r="E29" s="89"/>
      <c r="G29" s="36"/>
      <c r="H29" s="46" t="str">
        <f>INDEX(Skills!$A$1:$K$34,18,1)</f>
        <v>Interrogate</v>
      </c>
      <c r="I29" s="47"/>
      <c r="J29" s="47"/>
      <c r="K29" s="47"/>
      <c r="L29" s="47"/>
      <c r="M29" s="47"/>
      <c r="N29" s="42" t="str">
        <f>INDEX(Table2[[#Headers],[#Data]],18,11)</f>
        <v>1d10 + 0</v>
      </c>
      <c r="O29" s="42"/>
      <c r="P29" s="42"/>
      <c r="Q29" s="43"/>
      <c r="R29" s="36"/>
      <c r="S29" s="36"/>
      <c r="T29" s="36"/>
      <c r="U29" s="36"/>
      <c r="V29" s="36"/>
      <c r="W29" s="36"/>
      <c r="X29" s="36"/>
      <c r="Y29" s="74"/>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BA29" s="32"/>
      <c r="BB29" s="32"/>
      <c r="BC29" s="32"/>
      <c r="BD29" s="32"/>
      <c r="BE29" s="32"/>
      <c r="BF29" s="32"/>
      <c r="BG29" s="32"/>
    </row>
    <row r="30" spans="2:59" ht="10" customHeight="1" x14ac:dyDescent="0.15">
      <c r="B30" s="90">
        <f>CHA</f>
        <v>3</v>
      </c>
      <c r="C30" s="91"/>
      <c r="D30" s="91"/>
      <c r="E30" s="92"/>
      <c r="G30" s="36"/>
      <c r="H30" s="46" t="str">
        <f>INDEX(Skills!$A$1:$K$34,19,1)</f>
        <v>Torture</v>
      </c>
      <c r="I30" s="47"/>
      <c r="J30" s="47"/>
      <c r="K30" s="47"/>
      <c r="L30" s="47"/>
      <c r="M30" s="47"/>
      <c r="N30" s="42" t="str">
        <f>INDEX(Table2[[#Headers],[#Data]],19,11)</f>
        <v>1d10 + 0</v>
      </c>
      <c r="O30" s="42"/>
      <c r="P30" s="42"/>
      <c r="Q30" s="43"/>
      <c r="R30" s="36"/>
      <c r="S30" s="60" t="s">
        <v>176</v>
      </c>
      <c r="T30" s="61"/>
      <c r="U30" s="61"/>
      <c r="V30" s="61"/>
      <c r="W30" s="62" t="s">
        <v>37</v>
      </c>
      <c r="X30" s="61"/>
      <c r="Y30" s="73" t="str">
        <f t="shared" ref="Y30:Y38" si="1">INDEX(RESISTANCES,ROW(A2),11)</f>
        <v>1d10 + 0</v>
      </c>
      <c r="Z30" s="61"/>
      <c r="AA30" s="61"/>
      <c r="AB30" s="63"/>
      <c r="AC30" s="36"/>
      <c r="AD30" s="36"/>
      <c r="AE30" s="36"/>
      <c r="AF30" s="36"/>
      <c r="AG30" s="36"/>
      <c r="AH30" s="36"/>
      <c r="AI30" s="36"/>
      <c r="AJ30" s="36"/>
      <c r="AK30" s="36"/>
      <c r="AL30" s="36"/>
      <c r="AM30" s="36"/>
      <c r="AN30" s="36"/>
      <c r="AO30" s="36"/>
      <c r="AP30" s="36"/>
      <c r="AQ30" s="36"/>
      <c r="AR30" s="36"/>
      <c r="AS30" s="36"/>
      <c r="AT30" s="36"/>
      <c r="AU30" s="36"/>
      <c r="AV30" s="36"/>
      <c r="AW30" s="36"/>
      <c r="BA30" s="32"/>
      <c r="BB30" s="32"/>
      <c r="BC30" s="71"/>
      <c r="BD30" s="32"/>
      <c r="BE30" s="32"/>
      <c r="BF30" s="32"/>
      <c r="BG30" s="32"/>
    </row>
    <row r="31" spans="2:59" ht="10" customHeight="1" x14ac:dyDescent="0.15">
      <c r="B31" s="90"/>
      <c r="C31" s="91"/>
      <c r="D31" s="91"/>
      <c r="E31" s="92"/>
      <c r="G31" s="36"/>
      <c r="H31" s="46" t="str">
        <f>INDEX(Skills!$A$1:$K$34,20,1)</f>
        <v>Inspire</v>
      </c>
      <c r="I31" s="47"/>
      <c r="J31" s="47"/>
      <c r="K31" s="47"/>
      <c r="L31" s="47"/>
      <c r="M31" s="47"/>
      <c r="N31" s="42" t="str">
        <f>INDEX(Table2[[#Headers],[#Data]],20,11)</f>
        <v>1d10 + 0</v>
      </c>
      <c r="O31" s="42"/>
      <c r="P31" s="42"/>
      <c r="Q31" s="43"/>
      <c r="R31" s="36"/>
      <c r="S31" s="64" t="s">
        <v>177</v>
      </c>
      <c r="T31" s="65"/>
      <c r="U31" s="65"/>
      <c r="V31" s="65"/>
      <c r="W31" s="66" t="s">
        <v>36</v>
      </c>
      <c r="X31" s="65"/>
      <c r="Y31" s="73" t="str">
        <f t="shared" si="1"/>
        <v>1d10 + 0</v>
      </c>
      <c r="Z31" s="65"/>
      <c r="AA31" s="65"/>
      <c r="AB31" s="67"/>
      <c r="AC31" s="36"/>
      <c r="AD31" s="36"/>
      <c r="AE31" s="36"/>
      <c r="AF31" s="36"/>
      <c r="AG31" s="36"/>
      <c r="AH31" s="36"/>
      <c r="AI31" s="36"/>
      <c r="AJ31" s="36"/>
      <c r="AK31" s="36"/>
      <c r="AL31" s="36"/>
      <c r="AM31" s="36"/>
      <c r="AN31" s="36"/>
      <c r="AO31" s="36"/>
      <c r="AP31" s="36"/>
      <c r="AQ31" s="36"/>
      <c r="AR31" s="36"/>
      <c r="AS31" s="36"/>
      <c r="AT31" s="36"/>
      <c r="AU31" s="36"/>
      <c r="AV31" s="36"/>
      <c r="AW31" s="36"/>
      <c r="BA31" s="32"/>
      <c r="BB31" s="32"/>
      <c r="BC31" s="32"/>
      <c r="BD31" s="32"/>
      <c r="BE31" s="32"/>
      <c r="BF31" s="32"/>
      <c r="BG31" s="32"/>
    </row>
    <row r="32" spans="2:59" ht="10" customHeight="1" x14ac:dyDescent="0.15">
      <c r="B32" s="90"/>
      <c r="C32" s="91"/>
      <c r="D32" s="91"/>
      <c r="E32" s="92"/>
      <c r="G32" s="36"/>
      <c r="H32" s="46" t="str">
        <f>INDEX(Skills!$A$1:$K$34,21,1)</f>
        <v>Stealth</v>
      </c>
      <c r="I32" s="47"/>
      <c r="J32" s="47"/>
      <c r="K32" s="47"/>
      <c r="L32" s="47"/>
      <c r="M32" s="47"/>
      <c r="N32" s="42" t="str">
        <f>INDEX(Table2[[#Headers],[#Data]],21,11)</f>
        <v>1d10 + 0</v>
      </c>
      <c r="O32" s="42"/>
      <c r="P32" s="42"/>
      <c r="Q32" s="43"/>
      <c r="R32" s="36"/>
      <c r="S32" s="64" t="s">
        <v>172</v>
      </c>
      <c r="T32" s="65"/>
      <c r="U32" s="65"/>
      <c r="V32" s="65"/>
      <c r="W32" s="66" t="s">
        <v>55</v>
      </c>
      <c r="X32" s="65"/>
      <c r="Y32" s="73" t="str">
        <f t="shared" si="1"/>
        <v>1d10 + 0</v>
      </c>
      <c r="Z32" s="65"/>
      <c r="AA32" s="65"/>
      <c r="AB32" s="67"/>
      <c r="AC32" s="36"/>
      <c r="AD32" s="36"/>
      <c r="AE32" s="36"/>
      <c r="AF32" s="36"/>
      <c r="AG32" s="36"/>
      <c r="AH32" s="36"/>
      <c r="AI32" s="36"/>
      <c r="AJ32" s="36"/>
      <c r="AK32" s="36"/>
      <c r="AL32" s="36"/>
      <c r="AM32" s="36"/>
      <c r="AN32" s="36"/>
      <c r="AO32" s="36"/>
      <c r="AP32" s="36"/>
      <c r="AQ32" s="36"/>
      <c r="AR32" s="36"/>
      <c r="AS32" s="36"/>
      <c r="AT32" s="36"/>
      <c r="AU32" s="36"/>
      <c r="AV32" s="36"/>
      <c r="AW32" s="36"/>
      <c r="BA32" s="32"/>
      <c r="BB32" s="32"/>
      <c r="BC32" s="32"/>
      <c r="BD32" s="32"/>
      <c r="BE32" s="32"/>
      <c r="BF32" s="32"/>
      <c r="BG32" s="32"/>
    </row>
    <row r="33" spans="2:59" ht="10" customHeight="1" thickBot="1" x14ac:dyDescent="0.2">
      <c r="B33" s="34"/>
      <c r="C33" s="93">
        <f>CHA_TOTAL</f>
        <v>23</v>
      </c>
      <c r="D33" s="94"/>
      <c r="E33" s="35"/>
      <c r="G33" s="36"/>
      <c r="H33" s="46" t="str">
        <f>INDEX(Skills!$A$1:$K$34,22,1)</f>
        <v>Guard</v>
      </c>
      <c r="I33" s="47"/>
      <c r="J33" s="47"/>
      <c r="K33" s="47"/>
      <c r="L33" s="47"/>
      <c r="M33" s="47"/>
      <c r="N33" s="42" t="str">
        <f>INDEX(Table2[[#Headers],[#Data]],22,11)</f>
        <v>1d10 + 0</v>
      </c>
      <c r="O33" s="42"/>
      <c r="P33" s="42"/>
      <c r="Q33" s="43"/>
      <c r="R33" s="36"/>
      <c r="S33" s="64" t="s">
        <v>171</v>
      </c>
      <c r="T33" s="65"/>
      <c r="U33" s="65"/>
      <c r="V33" s="65"/>
      <c r="W33" s="66" t="s">
        <v>36</v>
      </c>
      <c r="X33" s="65"/>
      <c r="Y33" s="73" t="str">
        <f t="shared" si="1"/>
        <v>1d10 + 0</v>
      </c>
      <c r="Z33" s="65"/>
      <c r="AA33" s="65"/>
      <c r="AB33" s="67"/>
      <c r="AC33" s="36"/>
      <c r="AD33" s="36"/>
      <c r="AE33" s="36"/>
      <c r="AF33" s="36"/>
      <c r="AG33" s="36"/>
      <c r="AH33" s="36"/>
      <c r="AI33" s="36"/>
      <c r="AJ33" s="36"/>
      <c r="AK33" s="36"/>
      <c r="AL33" s="36"/>
      <c r="AM33" s="36"/>
      <c r="AN33" s="36"/>
      <c r="AO33" s="36"/>
      <c r="AP33" s="36"/>
      <c r="AQ33" s="36"/>
      <c r="AR33" s="36"/>
      <c r="AS33" s="36"/>
      <c r="AT33" s="36"/>
      <c r="AU33" s="36"/>
      <c r="AV33" s="36"/>
      <c r="AW33" s="36"/>
      <c r="BA33" s="32"/>
      <c r="BB33" s="32"/>
      <c r="BC33" s="32"/>
      <c r="BD33" s="32"/>
      <c r="BE33" s="32"/>
      <c r="BF33" s="32"/>
      <c r="BG33" s="32"/>
    </row>
    <row r="34" spans="2:59" ht="10" customHeight="1" x14ac:dyDescent="0.15">
      <c r="B34" s="33"/>
      <c r="C34" s="95"/>
      <c r="D34" s="96"/>
      <c r="E34" s="32"/>
      <c r="G34" s="36"/>
      <c r="H34" s="46" t="str">
        <f>INDEX(Skills!$A$1:$K$34,23,1)</f>
        <v>Law</v>
      </c>
      <c r="I34" s="47"/>
      <c r="J34" s="47"/>
      <c r="K34" s="47"/>
      <c r="L34" s="47"/>
      <c r="M34" s="47"/>
      <c r="N34" s="42" t="str">
        <f>INDEX(Table2[[#Headers],[#Data]],23,11)</f>
        <v>1d10 + 0</v>
      </c>
      <c r="O34" s="42"/>
      <c r="P34" s="42"/>
      <c r="Q34" s="43"/>
      <c r="R34" s="36"/>
      <c r="S34" s="64" t="s">
        <v>173</v>
      </c>
      <c r="T34" s="65"/>
      <c r="U34" s="65"/>
      <c r="V34" s="65"/>
      <c r="W34" s="66" t="s">
        <v>39</v>
      </c>
      <c r="X34" s="65"/>
      <c r="Y34" s="73" t="str">
        <f t="shared" si="1"/>
        <v>1d10 + 0</v>
      </c>
      <c r="Z34" s="65"/>
      <c r="AA34" s="65"/>
      <c r="AB34" s="67"/>
      <c r="AC34" s="36"/>
      <c r="AD34" s="36"/>
      <c r="AE34" s="36"/>
      <c r="AF34" s="36"/>
      <c r="AG34" s="36"/>
      <c r="AH34" s="36"/>
      <c r="AI34" s="36"/>
      <c r="AJ34" s="36"/>
      <c r="AK34" s="36"/>
      <c r="AL34" s="36"/>
      <c r="AM34" s="36"/>
      <c r="AN34" s="36"/>
      <c r="AO34" s="36"/>
      <c r="AP34" s="36"/>
      <c r="AQ34" s="36"/>
      <c r="AR34" s="36"/>
      <c r="AS34" s="36"/>
      <c r="AT34" s="36"/>
      <c r="AU34" s="36"/>
      <c r="AV34" s="36"/>
      <c r="AW34" s="36"/>
      <c r="BA34" s="32"/>
      <c r="BB34" s="32"/>
      <c r="BC34" s="32"/>
      <c r="BD34" s="32"/>
      <c r="BE34" s="32"/>
      <c r="BF34" s="32"/>
      <c r="BG34" s="32"/>
    </row>
    <row r="35" spans="2:59" ht="10" customHeight="1" thickBot="1" x14ac:dyDescent="0.2">
      <c r="G35" s="36"/>
      <c r="H35" s="46" t="str">
        <f>INDEX(Skills!$A$1:$K$34,24,1)</f>
        <v>Culture</v>
      </c>
      <c r="I35" s="47"/>
      <c r="J35" s="47"/>
      <c r="K35" s="47"/>
      <c r="L35" s="47"/>
      <c r="M35" s="47"/>
      <c r="N35" s="42" t="str">
        <f>INDEX(Table2[[#Headers],[#Data]],24,11)</f>
        <v>1d10 + 0</v>
      </c>
      <c r="O35" s="42"/>
      <c r="P35" s="42"/>
      <c r="Q35" s="43"/>
      <c r="R35" s="36"/>
      <c r="S35" s="64" t="s">
        <v>174</v>
      </c>
      <c r="T35" s="65"/>
      <c r="U35" s="65"/>
      <c r="V35" s="65"/>
      <c r="W35" s="66" t="s">
        <v>36</v>
      </c>
      <c r="X35" s="65"/>
      <c r="Y35" s="73" t="str">
        <f t="shared" si="1"/>
        <v>1d10 + 0</v>
      </c>
      <c r="Z35" s="65"/>
      <c r="AA35" s="65"/>
      <c r="AB35" s="67"/>
      <c r="AC35" s="36"/>
      <c r="AD35" s="36"/>
      <c r="AE35" s="36"/>
      <c r="AF35" s="36"/>
      <c r="AG35" s="36"/>
      <c r="AH35" s="36"/>
      <c r="AI35" s="36"/>
      <c r="AJ35" s="36"/>
      <c r="AK35" s="36"/>
      <c r="AL35" s="36"/>
      <c r="AM35" s="36"/>
      <c r="AN35" s="36"/>
      <c r="AO35" s="36"/>
      <c r="AP35" s="36"/>
      <c r="AQ35" s="36"/>
      <c r="AR35" s="36"/>
      <c r="AS35" s="36"/>
      <c r="AT35" s="36"/>
      <c r="AU35" s="36"/>
      <c r="AV35" s="36"/>
      <c r="AW35" s="36"/>
      <c r="BA35" s="32"/>
      <c r="BB35" s="32"/>
      <c r="BC35" s="32"/>
      <c r="BD35" s="32"/>
      <c r="BE35" s="32"/>
      <c r="BF35" s="32"/>
      <c r="BG35" s="32"/>
    </row>
    <row r="36" spans="2:59" ht="10" customHeight="1" x14ac:dyDescent="0.15">
      <c r="B36" s="87" t="s">
        <v>33</v>
      </c>
      <c r="C36" s="88"/>
      <c r="D36" s="88"/>
      <c r="E36" s="89"/>
      <c r="G36" s="36"/>
      <c r="H36" s="46" t="str">
        <f>INDEX(Skills!$A$1:$K$34,25,1)</f>
        <v>Concoct Poison</v>
      </c>
      <c r="I36" s="47"/>
      <c r="J36" s="47"/>
      <c r="K36" s="47"/>
      <c r="L36" s="47"/>
      <c r="M36" s="47"/>
      <c r="N36" s="42" t="str">
        <f>INDEX(Table2[[#Headers],[#Data]],25,11)</f>
        <v>1d10 + 0</v>
      </c>
      <c r="O36" s="42"/>
      <c r="P36" s="42"/>
      <c r="Q36" s="43"/>
      <c r="R36" s="36"/>
      <c r="S36" s="64" t="s">
        <v>175</v>
      </c>
      <c r="T36" s="65"/>
      <c r="U36" s="65"/>
      <c r="V36" s="65"/>
      <c r="W36" s="66" t="s">
        <v>36</v>
      </c>
      <c r="X36" s="65"/>
      <c r="Y36" s="73" t="str">
        <f t="shared" si="1"/>
        <v>1d10 + 0</v>
      </c>
      <c r="Z36" s="65"/>
      <c r="AA36" s="65"/>
      <c r="AB36" s="67"/>
      <c r="AC36" s="36"/>
      <c r="AD36" s="36"/>
      <c r="AE36" s="36"/>
      <c r="AF36" s="36"/>
      <c r="AG36" s="36"/>
      <c r="AH36" s="36"/>
      <c r="AI36" s="36"/>
      <c r="AJ36" s="36"/>
      <c r="AK36" s="36"/>
      <c r="AL36" s="36"/>
      <c r="AM36" s="36"/>
      <c r="AN36" s="36"/>
      <c r="AO36" s="36"/>
      <c r="AP36" s="36"/>
      <c r="AQ36" s="36"/>
      <c r="AR36" s="36"/>
      <c r="AS36" s="36"/>
      <c r="AT36" s="36"/>
      <c r="AU36" s="36"/>
      <c r="AV36" s="36"/>
      <c r="AW36" s="36"/>
      <c r="BA36" s="32"/>
      <c r="BB36" s="32"/>
      <c r="BC36" s="32"/>
      <c r="BD36" s="32"/>
      <c r="BE36" s="32"/>
      <c r="BF36" s="32"/>
      <c r="BG36" s="32"/>
    </row>
    <row r="37" spans="2:59" ht="10" customHeight="1" x14ac:dyDescent="0.15">
      <c r="B37" s="90">
        <f>PER</f>
        <v>2</v>
      </c>
      <c r="C37" s="91"/>
      <c r="D37" s="91"/>
      <c r="E37" s="92"/>
      <c r="G37" s="36"/>
      <c r="H37" s="46" t="str">
        <f>INDEX(Skills!$A$1:$K$34,26,1)</f>
        <v>Medicine</v>
      </c>
      <c r="I37" s="47"/>
      <c r="J37" s="47"/>
      <c r="K37" s="47"/>
      <c r="L37" s="47"/>
      <c r="M37" s="47"/>
      <c r="N37" s="42" t="str">
        <f>INDEX(Table2[[#Headers],[#Data]],26,11)</f>
        <v>1d10 + 0</v>
      </c>
      <c r="O37" s="42"/>
      <c r="P37" s="42"/>
      <c r="Q37" s="43"/>
      <c r="R37" s="36"/>
      <c r="S37" s="64" t="s">
        <v>178</v>
      </c>
      <c r="T37" s="65"/>
      <c r="U37" s="65"/>
      <c r="V37" s="65"/>
      <c r="W37" s="66" t="s">
        <v>39</v>
      </c>
      <c r="X37" s="65"/>
      <c r="Y37" s="73" t="str">
        <f t="shared" si="1"/>
        <v>1d10 + 0</v>
      </c>
      <c r="Z37" s="65"/>
      <c r="AA37" s="65"/>
      <c r="AB37" s="67"/>
      <c r="AC37" s="36"/>
      <c r="AD37" s="36"/>
      <c r="AE37" s="36"/>
      <c r="AF37" s="36"/>
      <c r="AG37" s="36"/>
      <c r="AH37" s="36"/>
      <c r="AI37" s="36"/>
      <c r="AJ37" s="36"/>
      <c r="AK37" s="36"/>
      <c r="AL37" s="36"/>
      <c r="AM37" s="36"/>
      <c r="AN37" s="36"/>
      <c r="AO37" s="36"/>
      <c r="AP37" s="36"/>
      <c r="AQ37" s="36"/>
      <c r="AR37" s="36"/>
      <c r="AS37" s="36"/>
      <c r="AT37" s="36"/>
      <c r="AU37" s="36"/>
      <c r="AV37" s="36"/>
      <c r="AW37" s="36"/>
      <c r="BA37" s="32"/>
      <c r="BB37" s="32"/>
      <c r="BC37" s="32"/>
      <c r="BD37" s="32"/>
      <c r="BE37" s="32"/>
      <c r="BF37" s="32"/>
      <c r="BG37" s="32"/>
    </row>
    <row r="38" spans="2:59" ht="10" customHeight="1" x14ac:dyDescent="0.15">
      <c r="B38" s="90"/>
      <c r="C38" s="91"/>
      <c r="D38" s="91"/>
      <c r="E38" s="92"/>
      <c r="G38" s="36"/>
      <c r="H38" s="46" t="str">
        <f>INDEX(Skills!$A$1:$K$34,27,1)</f>
        <v>Language</v>
      </c>
      <c r="I38" s="47"/>
      <c r="J38" s="47"/>
      <c r="K38" s="47"/>
      <c r="L38" s="47"/>
      <c r="M38" s="47"/>
      <c r="N38" s="42" t="str">
        <f>INDEX(Table2[[#Headers],[#Data]],27,11)</f>
        <v>1d10 + 0</v>
      </c>
      <c r="O38" s="42"/>
      <c r="P38" s="42"/>
      <c r="Q38" s="43"/>
      <c r="R38" s="36"/>
      <c r="S38" s="64" t="s">
        <v>179</v>
      </c>
      <c r="T38" s="65"/>
      <c r="U38" s="65"/>
      <c r="V38" s="65"/>
      <c r="W38" s="66" t="s">
        <v>38</v>
      </c>
      <c r="X38" s="65"/>
      <c r="Y38" s="73" t="str">
        <f t="shared" si="1"/>
        <v>1d10 + 0</v>
      </c>
      <c r="Z38" s="65"/>
      <c r="AA38" s="65"/>
      <c r="AB38" s="67"/>
      <c r="AC38" s="36"/>
      <c r="AD38" s="36"/>
      <c r="AE38" s="36"/>
      <c r="AF38" s="36"/>
      <c r="AG38" s="36"/>
      <c r="AH38" s="36"/>
      <c r="AI38" s="36"/>
      <c r="AJ38" s="36"/>
      <c r="AK38" s="36"/>
      <c r="AL38" s="36"/>
      <c r="AM38" s="36"/>
      <c r="AN38" s="36"/>
      <c r="AO38" s="36"/>
      <c r="AP38" s="36"/>
      <c r="AQ38" s="36"/>
      <c r="AR38" s="36"/>
      <c r="AS38" s="36"/>
      <c r="AT38" s="36"/>
      <c r="AU38" s="36"/>
      <c r="AV38" s="36"/>
      <c r="AW38" s="36"/>
      <c r="BA38" s="32"/>
      <c r="BB38" s="32"/>
      <c r="BC38" s="32"/>
      <c r="BD38" s="32"/>
      <c r="BE38" s="32"/>
      <c r="BF38" s="32"/>
      <c r="BG38" s="32"/>
    </row>
    <row r="39" spans="2:59" ht="10" customHeight="1" x14ac:dyDescent="0.2">
      <c r="B39" s="90"/>
      <c r="C39" s="91"/>
      <c r="D39" s="91"/>
      <c r="E39" s="92"/>
      <c r="G39" s="36"/>
      <c r="H39" s="46" t="str">
        <f>INDEX(Skills!$A$1:$K$34,28,1)</f>
        <v>Culture</v>
      </c>
      <c r="I39" s="47"/>
      <c r="J39" s="47"/>
      <c r="K39" s="47"/>
      <c r="L39" s="47"/>
      <c r="M39" s="47"/>
      <c r="N39" s="42" t="str">
        <f>INDEX(Table2[[#Headers],[#Data]],28,11)</f>
        <v>1d10 + 0</v>
      </c>
      <c r="O39" s="42"/>
      <c r="P39" s="42"/>
      <c r="Q39" s="43"/>
      <c r="R39" s="36"/>
      <c r="S39" s="68"/>
      <c r="T39" s="69"/>
      <c r="U39" s="69"/>
      <c r="V39" s="69"/>
      <c r="W39" s="69"/>
      <c r="X39" s="69"/>
      <c r="Y39" s="69"/>
      <c r="Z39" s="69"/>
      <c r="AA39" s="69"/>
      <c r="AB39" s="70"/>
      <c r="AC39" s="36"/>
      <c r="AD39" s="36"/>
      <c r="AE39" s="36"/>
      <c r="AF39" s="36"/>
      <c r="AG39" s="36"/>
      <c r="AH39" s="36"/>
      <c r="AI39" s="36"/>
      <c r="AJ39" s="36"/>
      <c r="AK39" s="36"/>
      <c r="AL39" s="36"/>
      <c r="AM39" s="36"/>
      <c r="AN39" s="36"/>
      <c r="AO39" s="36"/>
      <c r="AP39" s="36"/>
      <c r="AQ39" s="36"/>
      <c r="AR39" s="36"/>
      <c r="AS39" s="36"/>
      <c r="AT39" s="36"/>
      <c r="AU39" s="36"/>
      <c r="AV39" s="36"/>
      <c r="AW39" s="36"/>
      <c r="BA39" s="32"/>
      <c r="BB39" s="32"/>
      <c r="BC39" s="32"/>
      <c r="BD39" s="32"/>
      <c r="BE39" s="32"/>
      <c r="BF39" s="32"/>
      <c r="BG39" s="32"/>
    </row>
    <row r="40" spans="2:59" ht="10" customHeight="1" thickBot="1" x14ac:dyDescent="0.25">
      <c r="B40" s="34"/>
      <c r="C40" s="93">
        <f>PER_TOTAL</f>
        <v>19</v>
      </c>
      <c r="D40" s="94"/>
      <c r="E40" s="35"/>
      <c r="G40" s="36"/>
      <c r="H40" s="113" t="s">
        <v>62</v>
      </c>
      <c r="I40" s="114"/>
      <c r="J40" s="114"/>
      <c r="K40" s="114"/>
      <c r="L40" s="114"/>
      <c r="M40" s="114"/>
      <c r="N40" s="114"/>
      <c r="O40" s="114"/>
      <c r="P40" s="114"/>
      <c r="Q40" s="115"/>
      <c r="R40" s="36"/>
      <c r="S40" s="113" t="s">
        <v>64</v>
      </c>
      <c r="T40" s="114"/>
      <c r="U40" s="114"/>
      <c r="V40" s="114"/>
      <c r="W40" s="114"/>
      <c r="X40" s="114"/>
      <c r="Y40" s="114"/>
      <c r="Z40" s="114"/>
      <c r="AA40" s="114"/>
      <c r="AB40" s="115"/>
      <c r="AC40" s="36"/>
      <c r="AD40" s="36"/>
      <c r="AE40" s="36"/>
      <c r="AF40" s="36"/>
      <c r="AG40" s="36"/>
      <c r="AH40" s="36"/>
      <c r="AI40" s="36"/>
      <c r="AJ40" s="36"/>
      <c r="AK40" s="36"/>
      <c r="AL40" s="36"/>
      <c r="AM40" s="36"/>
      <c r="AN40" s="36"/>
      <c r="AO40" s="36"/>
      <c r="AP40" s="36"/>
      <c r="AQ40" s="36"/>
      <c r="AR40" s="36"/>
      <c r="AS40" s="36"/>
      <c r="AT40" s="36"/>
      <c r="AU40" s="36"/>
      <c r="AV40" s="36"/>
      <c r="AW40" s="36"/>
      <c r="BA40" s="32"/>
      <c r="BB40" s="32"/>
      <c r="BC40" s="32"/>
      <c r="BD40" s="32"/>
      <c r="BE40" s="32"/>
      <c r="BF40" s="32"/>
      <c r="BG40" s="32"/>
    </row>
    <row r="41" spans="2:59" ht="10" customHeight="1" x14ac:dyDescent="0.2">
      <c r="B41" s="33"/>
      <c r="C41" s="95"/>
      <c r="D41" s="96"/>
      <c r="E41" s="32"/>
      <c r="G41" s="36"/>
      <c r="H41" s="36"/>
      <c r="I41" s="36"/>
      <c r="J41" s="36"/>
      <c r="K41" s="36"/>
      <c r="L41" s="36"/>
      <c r="M41" s="36"/>
      <c r="N41" s="36"/>
      <c r="O41" s="36"/>
      <c r="P41" s="36"/>
      <c r="Q41" s="36"/>
      <c r="R41" s="36"/>
      <c r="AC41" s="36"/>
      <c r="AD41" s="36"/>
      <c r="AE41" s="36"/>
      <c r="AF41" s="36"/>
      <c r="AG41" s="36"/>
      <c r="AH41" s="36"/>
      <c r="AI41" s="36"/>
      <c r="AN41" s="36"/>
      <c r="AO41" s="36"/>
      <c r="AP41" s="36"/>
      <c r="AQ41" s="36"/>
      <c r="AR41" s="36"/>
      <c r="AS41" s="36"/>
      <c r="AT41" s="36"/>
      <c r="AU41" s="36"/>
      <c r="AV41" s="36"/>
      <c r="AW41" s="36"/>
      <c r="BA41" s="32"/>
      <c r="BB41" s="32"/>
      <c r="BC41" s="32"/>
      <c r="BD41" s="32"/>
      <c r="BE41" s="32"/>
      <c r="BF41" s="32"/>
      <c r="BG41" s="32"/>
    </row>
    <row r="42" spans="2:59" ht="10" customHeight="1" x14ac:dyDescent="0.2">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N42" s="36"/>
      <c r="AO42" s="36"/>
      <c r="AP42" s="36"/>
      <c r="AQ42" s="36"/>
      <c r="AR42" s="36"/>
      <c r="AS42" s="36"/>
      <c r="AT42" s="36"/>
      <c r="AU42" s="36"/>
      <c r="AV42" s="36"/>
      <c r="AW42" s="36"/>
      <c r="BA42" s="32"/>
      <c r="BB42" s="32"/>
      <c r="BC42" s="32"/>
      <c r="BD42" s="32"/>
      <c r="BE42" s="32"/>
      <c r="BF42" s="32"/>
      <c r="BG42" s="32"/>
    </row>
    <row r="43" spans="2:59" ht="10" customHeight="1" x14ac:dyDescent="0.2">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N43" s="36"/>
      <c r="AO43" s="36"/>
      <c r="AP43" s="36"/>
      <c r="AQ43" s="36"/>
      <c r="AR43" s="36"/>
      <c r="AS43" s="36"/>
      <c r="AT43" s="36"/>
      <c r="AU43" s="36"/>
      <c r="AV43" s="36"/>
      <c r="AW43" s="36"/>
      <c r="BA43" s="32"/>
      <c r="BB43" s="32"/>
      <c r="BC43" s="32"/>
      <c r="BD43" s="32"/>
      <c r="BE43" s="32"/>
      <c r="BF43" s="32"/>
      <c r="BG43" s="32"/>
    </row>
    <row r="44" spans="2:59" ht="10" customHeight="1" x14ac:dyDescent="0.2">
      <c r="B44" s="85" t="s">
        <v>232</v>
      </c>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row>
    <row r="45" spans="2:59" ht="10" customHeight="1" x14ac:dyDescent="0.2">
      <c r="B45" s="86"/>
      <c r="C45" s="86"/>
      <c r="D45" s="86"/>
      <c r="E45" s="86"/>
      <c r="F45" s="86"/>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row>
    <row r="46" spans="2:59" ht="10" customHeight="1" x14ac:dyDescent="0.2">
      <c r="AT46" s="36"/>
      <c r="AU46" s="36"/>
      <c r="AV46" s="36"/>
      <c r="AW46" s="36"/>
    </row>
    <row r="47" spans="2:59" ht="10" customHeight="1" x14ac:dyDescent="0.2">
      <c r="B47" s="36" t="s">
        <v>285</v>
      </c>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row>
    <row r="48" spans="2:59" ht="10" customHeight="1" x14ac:dyDescent="0.2">
      <c r="B48" s="36" t="s">
        <v>286</v>
      </c>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row>
    <row r="49" spans="2:49" ht="10" customHeight="1" x14ac:dyDescent="0.2">
      <c r="B49" s="36" t="s">
        <v>287</v>
      </c>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row>
    <row r="50" spans="2:49" ht="10" customHeight="1" x14ac:dyDescent="0.2">
      <c r="B50" s="36" t="s">
        <v>288</v>
      </c>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row>
    <row r="51" spans="2:49" ht="10" customHeight="1" x14ac:dyDescent="0.2">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row>
    <row r="52" spans="2:49" ht="10" customHeight="1" x14ac:dyDescent="0.2">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row>
    <row r="53" spans="2:49" ht="10" customHeight="1" x14ac:dyDescent="0.2">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row>
    <row r="54" spans="2:49" ht="10" customHeight="1" x14ac:dyDescent="0.2">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row>
    <row r="55" spans="2:49" ht="10" customHeight="1" x14ac:dyDescent="0.2">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row>
    <row r="56" spans="2:49" ht="10" customHeight="1" x14ac:dyDescent="0.2">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row>
    <row r="57" spans="2:49" ht="10" customHeight="1" x14ac:dyDescent="0.2">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row>
    <row r="58" spans="2:49" ht="10" customHeight="1" x14ac:dyDescent="0.2">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row>
    <row r="59" spans="2:49" ht="10" customHeight="1" x14ac:dyDescent="0.2">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row>
    <row r="60" spans="2:49" ht="10" customHeight="1" x14ac:dyDescent="0.2">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row>
    <row r="61" spans="2:49" ht="10" customHeight="1" x14ac:dyDescent="0.2">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row>
    <row r="62" spans="2:49" ht="10" customHeight="1" x14ac:dyDescent="0.2">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row>
    <row r="63" spans="2:49" ht="10" customHeight="1" x14ac:dyDescent="0.2">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row>
    <row r="64" spans="2:49" ht="10" customHeight="1" x14ac:dyDescent="0.2">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row>
    <row r="65" spans="2:49" ht="10" customHeight="1" x14ac:dyDescent="0.2">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row>
    <row r="66" spans="2:49" ht="10" customHeight="1" x14ac:dyDescent="0.2">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row>
    <row r="67" spans="2:49" ht="10" customHeight="1" x14ac:dyDescent="0.2">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row>
    <row r="68" spans="2:49" ht="10" customHeight="1" x14ac:dyDescent="0.2">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row>
    <row r="69" spans="2:49" ht="10" customHeight="1" x14ac:dyDescent="0.2">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row>
    <row r="70" spans="2:49" ht="10" customHeight="1" x14ac:dyDescent="0.2">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row>
    <row r="71" spans="2:49" ht="10" customHeight="1" x14ac:dyDescent="0.2">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row>
    <row r="72" spans="2:49" ht="10" customHeight="1" x14ac:dyDescent="0.2">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row>
    <row r="73" spans="2:49" ht="10" customHeight="1" x14ac:dyDescent="0.2">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row>
    <row r="74" spans="2:49" ht="10" customHeight="1" x14ac:dyDescent="0.2">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row>
    <row r="75" spans="2:49" ht="10" customHeight="1" x14ac:dyDescent="0.2">
      <c r="B75" s="84"/>
      <c r="C75" s="84"/>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row>
    <row r="76" spans="2:49" ht="10" customHeight="1" x14ac:dyDescent="0.2"/>
    <row r="77" spans="2:49" ht="10" customHeight="1" x14ac:dyDescent="0.2"/>
    <row r="78" spans="2:49" ht="10" customHeight="1" x14ac:dyDescent="0.2"/>
    <row r="79" spans="2:49" ht="10" customHeight="1" x14ac:dyDescent="0.2"/>
    <row r="80" spans="2:49" ht="10" customHeight="1" x14ac:dyDescent="0.2"/>
    <row r="81" ht="10" customHeight="1" x14ac:dyDescent="0.2"/>
    <row r="82" ht="10" customHeight="1" x14ac:dyDescent="0.2"/>
    <row r="83" ht="10" customHeight="1" x14ac:dyDescent="0.2"/>
    <row r="84" ht="10" customHeight="1" x14ac:dyDescent="0.2"/>
    <row r="85" ht="10" customHeight="1" x14ac:dyDescent="0.2"/>
    <row r="86" ht="10" customHeight="1" x14ac:dyDescent="0.2"/>
    <row r="87" ht="10" customHeight="1" x14ac:dyDescent="0.2"/>
    <row r="88" ht="10" customHeight="1" x14ac:dyDescent="0.2"/>
    <row r="89" ht="10" customHeight="1" x14ac:dyDescent="0.2"/>
    <row r="90" ht="10" customHeight="1" x14ac:dyDescent="0.2"/>
    <row r="91" ht="10" customHeight="1" x14ac:dyDescent="0.2"/>
    <row r="92" ht="10" customHeight="1" x14ac:dyDescent="0.2"/>
    <row r="93" ht="10" customHeight="1" x14ac:dyDescent="0.2"/>
    <row r="94" ht="10" customHeight="1" x14ac:dyDescent="0.2"/>
    <row r="95" ht="10" customHeight="1" x14ac:dyDescent="0.2"/>
    <row r="96"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sheetData>
  <mergeCells count="48">
    <mergeCell ref="AE16:AW16"/>
    <mergeCell ref="H40:Q40"/>
    <mergeCell ref="AE22:AW23"/>
    <mergeCell ref="AE26:AW27"/>
    <mergeCell ref="AB9:AE11"/>
    <mergeCell ref="AG9:AJ11"/>
    <mergeCell ref="H8:K8"/>
    <mergeCell ref="AE13:AW14"/>
    <mergeCell ref="AQ8:AT8"/>
    <mergeCell ref="AQ9:AT11"/>
    <mergeCell ref="AL8:AO8"/>
    <mergeCell ref="AL9:AO11"/>
    <mergeCell ref="H9:K11"/>
    <mergeCell ref="W9:Z11"/>
    <mergeCell ref="R9:U11"/>
    <mergeCell ref="M9:P11"/>
    <mergeCell ref="AS2:AV5"/>
    <mergeCell ref="AS6:AV6"/>
    <mergeCell ref="AN2:AQ5"/>
    <mergeCell ref="AN6:AQ6"/>
    <mergeCell ref="AG8:AJ8"/>
    <mergeCell ref="S2:Z3"/>
    <mergeCell ref="AB2:AI3"/>
    <mergeCell ref="M8:P8"/>
    <mergeCell ref="R8:U8"/>
    <mergeCell ref="W8:Z8"/>
    <mergeCell ref="B2:O4"/>
    <mergeCell ref="B8:E8"/>
    <mergeCell ref="E5:F5"/>
    <mergeCell ref="AB8:AE8"/>
    <mergeCell ref="C19:D20"/>
    <mergeCell ref="B30:E32"/>
    <mergeCell ref="C33:D34"/>
    <mergeCell ref="B36:E36"/>
    <mergeCell ref="B37:E39"/>
    <mergeCell ref="B5:C5"/>
    <mergeCell ref="C12:D13"/>
    <mergeCell ref="B9:E11"/>
    <mergeCell ref="B15:E15"/>
    <mergeCell ref="B16:E18"/>
    <mergeCell ref="B44:AW45"/>
    <mergeCell ref="B22:E22"/>
    <mergeCell ref="B23:E25"/>
    <mergeCell ref="C26:D27"/>
    <mergeCell ref="B29:E29"/>
    <mergeCell ref="C40:D41"/>
    <mergeCell ref="S28:AB28"/>
    <mergeCell ref="S40:AB40"/>
  </mergeCell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row>
    <row r="2" spans="1:21" x14ac:dyDescent="0.25">
      <c r="A2" s="1" t="s">
        <v>138</v>
      </c>
      <c r="B2" s="2">
        <v>0</v>
      </c>
      <c r="C2" s="2">
        <v>0</v>
      </c>
      <c r="D2" s="2">
        <v>0</v>
      </c>
      <c r="E2" s="2">
        <v>0</v>
      </c>
      <c r="F2" s="2">
        <v>0</v>
      </c>
      <c r="G2" s="2">
        <v>0</v>
      </c>
      <c r="H2" s="2">
        <v>0</v>
      </c>
      <c r="I2" s="2"/>
      <c r="J2" s="2"/>
      <c r="K2" s="2"/>
      <c r="L2" s="2"/>
      <c r="M2" s="2"/>
      <c r="N2" s="2"/>
      <c r="O2" s="2"/>
      <c r="P2" s="2"/>
      <c r="Q2" s="2"/>
      <c r="R2" s="2"/>
    </row>
    <row r="3" spans="1:21" x14ac:dyDescent="0.25">
      <c r="A3" s="1" t="s">
        <v>89</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90</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91</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92</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93</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94</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95</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96</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97</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98</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100</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c r="T1" s="1" t="s">
        <v>99</v>
      </c>
    </row>
    <row r="2" spans="1:20" x14ac:dyDescent="0.25">
      <c r="A2" s="1" t="s">
        <v>138</v>
      </c>
      <c r="B2" s="2">
        <v>0</v>
      </c>
      <c r="C2" s="2">
        <v>0</v>
      </c>
      <c r="D2" s="2">
        <v>0</v>
      </c>
      <c r="E2" s="2">
        <v>0</v>
      </c>
      <c r="F2" s="2">
        <v>0</v>
      </c>
      <c r="G2" s="2">
        <v>1</v>
      </c>
      <c r="H2" s="2">
        <v>0</v>
      </c>
    </row>
    <row r="3" spans="1:20" x14ac:dyDescent="0.25">
      <c r="A3" s="1" t="s">
        <v>78</v>
      </c>
      <c r="B3" s="2">
        <v>18</v>
      </c>
      <c r="C3" s="2">
        <v>8</v>
      </c>
      <c r="D3" s="2">
        <v>0</v>
      </c>
      <c r="E3" s="2">
        <v>4</v>
      </c>
      <c r="F3" s="2">
        <v>4</v>
      </c>
      <c r="G3" s="2">
        <v>2</v>
      </c>
      <c r="H3" s="2">
        <v>10</v>
      </c>
      <c r="T3" s="1">
        <f>SUM(Table7[[#This Row],[STR]:[PER]])</f>
        <v>34</v>
      </c>
    </row>
    <row r="4" spans="1:20" x14ac:dyDescent="0.25">
      <c r="A4" s="1" t="s">
        <v>79</v>
      </c>
      <c r="B4" s="2">
        <v>26</v>
      </c>
      <c r="C4" s="2">
        <v>0</v>
      </c>
      <c r="D4" s="2">
        <v>0</v>
      </c>
      <c r="E4" s="2">
        <v>0</v>
      </c>
      <c r="F4" s="2">
        <v>8</v>
      </c>
      <c r="G4" s="2">
        <v>2</v>
      </c>
      <c r="H4" s="2">
        <v>10</v>
      </c>
      <c r="T4" s="1">
        <f>SUM(Table7[[#This Row],[STR]:[PER]])</f>
        <v>34</v>
      </c>
    </row>
    <row r="5" spans="1:20" x14ac:dyDescent="0.25">
      <c r="A5" s="1" t="s">
        <v>80</v>
      </c>
      <c r="B5" s="2">
        <v>20</v>
      </c>
      <c r="C5" s="2">
        <v>6</v>
      </c>
      <c r="D5" s="2">
        <v>4</v>
      </c>
      <c r="E5" s="2">
        <v>4</v>
      </c>
      <c r="F5" s="2">
        <v>0</v>
      </c>
      <c r="G5" s="2">
        <v>2</v>
      </c>
      <c r="H5" s="2">
        <v>10</v>
      </c>
      <c r="T5" s="1">
        <f>SUM(Table7[[#This Row],[STR]:[PER]])</f>
        <v>34</v>
      </c>
    </row>
    <row r="6" spans="1:20" x14ac:dyDescent="0.25">
      <c r="A6" s="1" t="s">
        <v>186</v>
      </c>
      <c r="B6" s="2">
        <v>2</v>
      </c>
      <c r="C6" s="2">
        <v>20</v>
      </c>
      <c r="D6" s="2">
        <v>4</v>
      </c>
      <c r="E6" s="2">
        <v>0</v>
      </c>
      <c r="F6" s="2">
        <v>8</v>
      </c>
      <c r="G6" s="2">
        <v>1</v>
      </c>
      <c r="H6" s="2">
        <v>10</v>
      </c>
      <c r="T6" s="1">
        <f>SUM(Table7[[#This Row],[STR]:[PER]])</f>
        <v>34</v>
      </c>
    </row>
    <row r="7" spans="1:20" x14ac:dyDescent="0.25">
      <c r="A7" s="1" t="s">
        <v>187</v>
      </c>
      <c r="B7" s="2">
        <v>0</v>
      </c>
      <c r="C7" s="2">
        <v>4</v>
      </c>
      <c r="D7" s="2">
        <v>20</v>
      </c>
      <c r="E7" s="2">
        <v>5</v>
      </c>
      <c r="F7" s="2">
        <v>5</v>
      </c>
      <c r="G7" s="2">
        <v>1</v>
      </c>
      <c r="H7" s="2">
        <v>10</v>
      </c>
      <c r="T7" s="1">
        <f>SUM(Table7[[#This Row],[STR]:[PER]])</f>
        <v>34</v>
      </c>
    </row>
    <row r="8" spans="1:20" x14ac:dyDescent="0.25">
      <c r="A8" s="1" t="s">
        <v>188</v>
      </c>
      <c r="B8" s="2">
        <v>15</v>
      </c>
      <c r="C8" s="2">
        <v>15</v>
      </c>
      <c r="D8" s="2">
        <v>0</v>
      </c>
      <c r="E8" s="2">
        <v>4</v>
      </c>
      <c r="F8" s="2">
        <v>0</v>
      </c>
      <c r="G8" s="2">
        <v>1</v>
      </c>
      <c r="H8" s="2">
        <v>10</v>
      </c>
      <c r="T8" s="1">
        <f>SUM(Table7[[#This Row],[STR]:[PER]])</f>
        <v>34</v>
      </c>
    </row>
    <row r="9" spans="1:20" x14ac:dyDescent="0.25">
      <c r="A9" s="1" t="s">
        <v>189</v>
      </c>
      <c r="B9" s="2">
        <v>17</v>
      </c>
      <c r="C9" s="2">
        <v>0</v>
      </c>
      <c r="D9" s="2">
        <v>0</v>
      </c>
      <c r="E9" s="2">
        <v>17</v>
      </c>
      <c r="F9" s="2">
        <v>0</v>
      </c>
      <c r="G9" s="2">
        <v>2</v>
      </c>
      <c r="H9" s="2">
        <v>10</v>
      </c>
      <c r="T9" s="1">
        <f>SUM(Table7[[#This Row],[STR]:[PER]])</f>
        <v>34</v>
      </c>
    </row>
    <row r="10" spans="1:20" x14ac:dyDescent="0.25">
      <c r="A10" s="1" t="s">
        <v>190</v>
      </c>
      <c r="B10" s="2">
        <v>6</v>
      </c>
      <c r="C10" s="2">
        <v>7</v>
      </c>
      <c r="D10" s="2">
        <v>7</v>
      </c>
      <c r="E10" s="2">
        <v>7</v>
      </c>
      <c r="F10" s="2">
        <v>7</v>
      </c>
      <c r="G10" s="2">
        <v>1</v>
      </c>
      <c r="H10" s="2">
        <v>10</v>
      </c>
      <c r="T10" s="1">
        <f>SUM(Table7[[#This Row],[STR]:[PER]])</f>
        <v>34</v>
      </c>
    </row>
    <row r="11" spans="1:20" x14ac:dyDescent="0.25">
      <c r="A11" s="1" t="s">
        <v>191</v>
      </c>
      <c r="B11" s="2">
        <v>10</v>
      </c>
      <c r="C11" s="2">
        <v>0</v>
      </c>
      <c r="D11" s="2">
        <v>18</v>
      </c>
      <c r="E11" s="2">
        <v>6</v>
      </c>
      <c r="F11" s="2">
        <v>0</v>
      </c>
      <c r="G11" s="2">
        <v>1</v>
      </c>
      <c r="H11" s="2">
        <v>10</v>
      </c>
      <c r="T11" s="1">
        <f>SUM(Table7[[#This Row],[STR]:[PER]])</f>
        <v>34</v>
      </c>
    </row>
    <row r="12" spans="1:20" x14ac:dyDescent="0.25">
      <c r="A12" s="1" t="s">
        <v>192</v>
      </c>
      <c r="B12" s="2">
        <v>0</v>
      </c>
      <c r="C12" s="2">
        <v>10</v>
      </c>
      <c r="D12" s="2">
        <v>18</v>
      </c>
      <c r="E12" s="2">
        <v>6</v>
      </c>
      <c r="F12" s="2">
        <v>0</v>
      </c>
      <c r="G12" s="2">
        <v>1</v>
      </c>
      <c r="H12" s="2">
        <v>10</v>
      </c>
      <c r="T12" s="1">
        <f>SUM(Table7[[#This Row],[STR]:[PER]])</f>
        <v>34</v>
      </c>
    </row>
    <row r="13" spans="1:20" x14ac:dyDescent="0.25">
      <c r="A13" s="1" t="s">
        <v>193</v>
      </c>
      <c r="B13" s="2">
        <v>0</v>
      </c>
      <c r="C13" s="2">
        <v>10</v>
      </c>
      <c r="D13" s="2">
        <v>18</v>
      </c>
      <c r="E13" s="2">
        <v>6</v>
      </c>
      <c r="F13" s="2">
        <v>0</v>
      </c>
      <c r="G13" s="2">
        <v>1</v>
      </c>
      <c r="H13" s="2">
        <v>10</v>
      </c>
      <c r="T13" s="1">
        <f>SUM(Table7[[#This Row],[STR]:[PER]])</f>
        <v>34</v>
      </c>
    </row>
    <row r="14" spans="1:20" x14ac:dyDescent="0.25">
      <c r="A14" s="1" t="s">
        <v>194</v>
      </c>
      <c r="B14" s="2">
        <v>13</v>
      </c>
      <c r="C14" s="2">
        <v>0</v>
      </c>
      <c r="D14" s="2">
        <v>15</v>
      </c>
      <c r="E14" s="2">
        <v>6</v>
      </c>
      <c r="F14" s="2">
        <v>0</v>
      </c>
      <c r="G14" s="2">
        <v>1</v>
      </c>
      <c r="H14" s="2">
        <v>10</v>
      </c>
      <c r="T14" s="1">
        <f>SUM(Table7[[#This Row],[STR]:[PER]])</f>
        <v>34</v>
      </c>
    </row>
    <row r="15" spans="1:20" x14ac:dyDescent="0.25">
      <c r="A15" s="1" t="s">
        <v>195</v>
      </c>
      <c r="B15" s="2">
        <v>8</v>
      </c>
      <c r="C15" s="2">
        <v>5</v>
      </c>
      <c r="D15" s="2">
        <v>15</v>
      </c>
      <c r="E15" s="2">
        <v>0</v>
      </c>
      <c r="F15" s="2">
        <v>6</v>
      </c>
      <c r="G15" s="2">
        <v>1</v>
      </c>
      <c r="H15" s="2">
        <v>10</v>
      </c>
      <c r="T15" s="1">
        <f>SUM(Table7[[#This Row],[STR]:[PER]])</f>
        <v>34</v>
      </c>
    </row>
    <row r="16" spans="1:20" x14ac:dyDescent="0.25">
      <c r="A16" s="1" t="s">
        <v>196</v>
      </c>
      <c r="B16" s="2">
        <v>10</v>
      </c>
      <c r="C16" s="2">
        <v>0</v>
      </c>
      <c r="D16" s="2">
        <v>18</v>
      </c>
      <c r="E16" s="2">
        <v>6</v>
      </c>
      <c r="F16" s="2">
        <v>0</v>
      </c>
      <c r="G16" s="2">
        <v>1</v>
      </c>
      <c r="H16" s="2">
        <v>10</v>
      </c>
      <c r="T16" s="1">
        <f>SUM(Table7[[#This Row],[STR]:[PER]])</f>
        <v>34</v>
      </c>
    </row>
    <row r="17" spans="1:20" x14ac:dyDescent="0.25">
      <c r="A17" s="1" t="s">
        <v>197</v>
      </c>
      <c r="B17" s="2">
        <v>20</v>
      </c>
      <c r="C17" s="2">
        <v>0</v>
      </c>
      <c r="D17" s="2">
        <v>8</v>
      </c>
      <c r="E17" s="2">
        <v>6</v>
      </c>
      <c r="F17" s="2">
        <v>0</v>
      </c>
      <c r="G17" s="2">
        <v>1</v>
      </c>
      <c r="H17" s="2">
        <v>10</v>
      </c>
      <c r="T17" s="1">
        <f>SUM(Table7[[#This Row],[STR]:[PER]])</f>
        <v>34</v>
      </c>
    </row>
    <row r="18" spans="1:20" x14ac:dyDescent="0.25">
      <c r="A18" s="1" t="s">
        <v>198</v>
      </c>
      <c r="B18" s="2">
        <v>8</v>
      </c>
      <c r="C18" s="2">
        <v>0</v>
      </c>
      <c r="D18" s="2">
        <v>20</v>
      </c>
      <c r="E18" s="2">
        <v>6</v>
      </c>
      <c r="F18" s="2">
        <v>0</v>
      </c>
      <c r="G18" s="2">
        <v>1</v>
      </c>
      <c r="H18" s="2">
        <v>10</v>
      </c>
      <c r="T18" s="1">
        <f>SUM(Table7[[#This Row],[STR]:[PER]])</f>
        <v>34</v>
      </c>
    </row>
    <row r="19" spans="1:20" x14ac:dyDescent="0.25">
      <c r="A19" s="1" t="s">
        <v>199</v>
      </c>
      <c r="B19" s="2">
        <v>10</v>
      </c>
      <c r="C19" s="2">
        <v>0</v>
      </c>
      <c r="D19" s="2">
        <v>0</v>
      </c>
      <c r="E19" s="2">
        <v>24</v>
      </c>
      <c r="F19" s="2">
        <v>0</v>
      </c>
      <c r="G19" s="2">
        <v>2</v>
      </c>
      <c r="H19" s="2">
        <v>10</v>
      </c>
      <c r="T19" s="1">
        <f>SUM(Table7[[#This Row],[STR]:[PER]])</f>
        <v>34</v>
      </c>
    </row>
    <row r="20" spans="1:20" x14ac:dyDescent="0.25">
      <c r="A20" s="1" t="s">
        <v>200</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baseColWidth="10" defaultRowHeight="16" x14ac:dyDescent="0.2"/>
  <cols>
    <col min="1" max="1" width="11.6640625" customWidth="1"/>
    <col min="9" max="9" width="13" customWidth="1"/>
  </cols>
  <sheetData>
    <row r="1" spans="1:19" ht="17" x14ac:dyDescent="0.2">
      <c r="A1" s="8" t="s">
        <v>52</v>
      </c>
      <c r="B1" s="8" t="s">
        <v>58</v>
      </c>
      <c r="C1" s="23" t="s">
        <v>69</v>
      </c>
      <c r="E1" s="8" t="s">
        <v>102</v>
      </c>
      <c r="F1" s="8" t="s">
        <v>52</v>
      </c>
      <c r="G1" s="8" t="s">
        <v>110</v>
      </c>
      <c r="I1" s="9" t="s">
        <v>164</v>
      </c>
      <c r="J1" s="9" t="s">
        <v>121</v>
      </c>
      <c r="K1" s="9" t="s">
        <v>160</v>
      </c>
      <c r="L1" s="9" t="s">
        <v>118</v>
      </c>
      <c r="M1" s="9"/>
      <c r="O1" s="9" t="s">
        <v>164</v>
      </c>
      <c r="P1" s="9" t="s">
        <v>121</v>
      </c>
      <c r="Q1" s="9" t="s">
        <v>160</v>
      </c>
      <c r="R1" s="9" t="s">
        <v>118</v>
      </c>
      <c r="S1" s="9" t="s">
        <v>21</v>
      </c>
    </row>
    <row r="2" spans="1:19" x14ac:dyDescent="0.2">
      <c r="A2" s="8">
        <v>0</v>
      </c>
      <c r="B2" s="8">
        <v>0</v>
      </c>
      <c r="C2" s="8">
        <v>0</v>
      </c>
      <c r="E2" s="8">
        <v>1</v>
      </c>
      <c r="F2" s="8">
        <v>2</v>
      </c>
      <c r="G2" s="8">
        <v>3</v>
      </c>
      <c r="I2" t="s">
        <v>161</v>
      </c>
      <c r="J2" s="8">
        <v>0</v>
      </c>
      <c r="K2" s="8">
        <v>0</v>
      </c>
      <c r="L2" s="8">
        <v>0</v>
      </c>
      <c r="M2" s="8"/>
      <c r="O2" t="s">
        <v>165</v>
      </c>
      <c r="P2" s="8">
        <v>1</v>
      </c>
      <c r="Q2" s="8">
        <v>0</v>
      </c>
      <c r="R2" s="8">
        <v>0</v>
      </c>
      <c r="S2" s="8">
        <v>1</v>
      </c>
    </row>
    <row r="3" spans="1:19" x14ac:dyDescent="0.2">
      <c r="A3" s="8">
        <v>20</v>
      </c>
      <c r="B3" s="8">
        <v>1</v>
      </c>
      <c r="C3" s="8">
        <v>1</v>
      </c>
      <c r="E3" s="8">
        <v>2</v>
      </c>
      <c r="F3" s="8">
        <f>F2+G2</f>
        <v>5</v>
      </c>
      <c r="G3" s="8">
        <v>4</v>
      </c>
      <c r="I3" t="s">
        <v>152</v>
      </c>
      <c r="J3" s="8">
        <v>1</v>
      </c>
      <c r="K3" s="8">
        <v>-1</v>
      </c>
      <c r="L3" s="8">
        <v>-1</v>
      </c>
      <c r="M3" s="8"/>
      <c r="O3" t="s">
        <v>166</v>
      </c>
      <c r="P3" s="8">
        <v>1</v>
      </c>
      <c r="Q3" s="8">
        <v>-1</v>
      </c>
      <c r="R3" s="8">
        <v>-1</v>
      </c>
      <c r="S3" s="8">
        <v>2</v>
      </c>
    </row>
    <row r="4" spans="1:19" x14ac:dyDescent="0.2">
      <c r="A4" s="8">
        <v>25</v>
      </c>
      <c r="B4" s="8">
        <v>2</v>
      </c>
      <c r="C4" s="8">
        <v>1</v>
      </c>
      <c r="E4" s="8">
        <v>3</v>
      </c>
      <c r="F4" s="8">
        <f t="shared" ref="F4:F14" si="0">F3+G3</f>
        <v>9</v>
      </c>
      <c r="G4" s="8">
        <v>5</v>
      </c>
      <c r="I4" t="s">
        <v>162</v>
      </c>
      <c r="J4" s="8">
        <v>2</v>
      </c>
      <c r="K4" s="8">
        <v>-2</v>
      </c>
      <c r="L4" s="8">
        <v>-3</v>
      </c>
      <c r="M4" s="8"/>
      <c r="O4" t="s">
        <v>167</v>
      </c>
      <c r="P4" s="8">
        <v>2</v>
      </c>
      <c r="Q4" s="8">
        <v>-2</v>
      </c>
      <c r="R4" s="8">
        <v>-2</v>
      </c>
      <c r="S4" s="8">
        <v>3</v>
      </c>
    </row>
    <row r="5" spans="1:19" x14ac:dyDescent="0.2">
      <c r="A5" s="8">
        <v>35</v>
      </c>
      <c r="B5" s="8">
        <v>3</v>
      </c>
      <c r="C5" s="8">
        <v>1</v>
      </c>
      <c r="E5" s="8">
        <v>4</v>
      </c>
      <c r="F5" s="8">
        <f t="shared" si="0"/>
        <v>14</v>
      </c>
      <c r="G5" s="8">
        <v>6</v>
      </c>
      <c r="I5" t="s">
        <v>163</v>
      </c>
      <c r="J5" s="8">
        <v>3</v>
      </c>
      <c r="K5" s="8">
        <v>-3</v>
      </c>
      <c r="L5" s="8">
        <v>-5</v>
      </c>
      <c r="M5" s="8"/>
      <c r="O5" t="s">
        <v>168</v>
      </c>
      <c r="P5" s="8">
        <v>3</v>
      </c>
      <c r="Q5" s="8">
        <v>-3</v>
      </c>
      <c r="R5" s="8">
        <v>-3</v>
      </c>
      <c r="S5" s="8">
        <v>4</v>
      </c>
    </row>
    <row r="6" spans="1:19" x14ac:dyDescent="0.2">
      <c r="A6" s="8">
        <v>50</v>
      </c>
      <c r="B6" s="8">
        <v>4</v>
      </c>
      <c r="C6" s="8">
        <v>2</v>
      </c>
      <c r="E6" s="8">
        <v>5</v>
      </c>
      <c r="F6" s="8">
        <f t="shared" si="0"/>
        <v>20</v>
      </c>
      <c r="G6" s="8">
        <v>7</v>
      </c>
      <c r="I6" t="s">
        <v>212</v>
      </c>
      <c r="J6" s="8">
        <v>0</v>
      </c>
      <c r="K6" s="8">
        <v>0</v>
      </c>
      <c r="L6" s="8">
        <v>0</v>
      </c>
      <c r="O6" t="s">
        <v>212</v>
      </c>
      <c r="P6" s="8">
        <v>0</v>
      </c>
      <c r="Q6" s="8">
        <v>0</v>
      </c>
      <c r="R6" s="8">
        <v>0</v>
      </c>
      <c r="S6" s="8">
        <v>0</v>
      </c>
    </row>
    <row r="7" spans="1:19" x14ac:dyDescent="0.2">
      <c r="A7" s="8">
        <v>70</v>
      </c>
      <c r="B7" s="8">
        <v>5</v>
      </c>
      <c r="C7" s="8">
        <v>2</v>
      </c>
      <c r="E7" s="8">
        <v>6</v>
      </c>
      <c r="F7" s="8">
        <f t="shared" si="0"/>
        <v>27</v>
      </c>
      <c r="G7" s="8">
        <v>8</v>
      </c>
      <c r="I7" t="s">
        <v>213</v>
      </c>
      <c r="J7" s="8">
        <v>0</v>
      </c>
      <c r="K7" s="8">
        <v>0</v>
      </c>
      <c r="L7" s="8">
        <v>0</v>
      </c>
      <c r="O7" t="s">
        <v>213</v>
      </c>
      <c r="P7" s="8">
        <v>0</v>
      </c>
      <c r="Q7" s="8">
        <v>0</v>
      </c>
      <c r="R7" s="8">
        <v>0</v>
      </c>
      <c r="S7" s="8">
        <v>0</v>
      </c>
    </row>
    <row r="8" spans="1:19" x14ac:dyDescent="0.2">
      <c r="A8" s="8">
        <v>95</v>
      </c>
      <c r="B8" s="8">
        <v>6</v>
      </c>
      <c r="C8" s="8">
        <v>2</v>
      </c>
      <c r="E8" s="8">
        <v>7</v>
      </c>
      <c r="F8" s="8">
        <f t="shared" si="0"/>
        <v>35</v>
      </c>
      <c r="G8" s="8">
        <v>9</v>
      </c>
      <c r="I8" t="s">
        <v>214</v>
      </c>
      <c r="J8" s="8">
        <v>0</v>
      </c>
      <c r="K8" s="8">
        <v>0</v>
      </c>
      <c r="L8" s="8">
        <v>0</v>
      </c>
      <c r="O8" t="s">
        <v>214</v>
      </c>
      <c r="P8" s="8">
        <v>0</v>
      </c>
      <c r="Q8" s="8">
        <v>0</v>
      </c>
      <c r="R8" s="8">
        <v>0</v>
      </c>
      <c r="S8" s="8">
        <v>0</v>
      </c>
    </row>
    <row r="9" spans="1:19" x14ac:dyDescent="0.2">
      <c r="A9" s="8">
        <v>125</v>
      </c>
      <c r="B9" s="8">
        <v>7</v>
      </c>
      <c r="C9" s="8">
        <v>3</v>
      </c>
      <c r="E9" s="8">
        <v>8</v>
      </c>
      <c r="F9" s="8">
        <f t="shared" si="0"/>
        <v>44</v>
      </c>
      <c r="G9" s="8">
        <v>10</v>
      </c>
      <c r="I9" t="s">
        <v>215</v>
      </c>
      <c r="J9" s="8">
        <v>0</v>
      </c>
      <c r="K9" s="8">
        <v>0</v>
      </c>
      <c r="L9" s="8">
        <v>0</v>
      </c>
      <c r="O9" t="s">
        <v>215</v>
      </c>
      <c r="P9" s="8">
        <v>0</v>
      </c>
      <c r="Q9" s="8">
        <v>0</v>
      </c>
      <c r="R9" s="8">
        <v>0</v>
      </c>
      <c r="S9" s="8">
        <v>0</v>
      </c>
    </row>
    <row r="10" spans="1:19" x14ac:dyDescent="0.2">
      <c r="A10" s="8">
        <v>160</v>
      </c>
      <c r="B10" s="8">
        <v>8</v>
      </c>
      <c r="C10" s="8">
        <v>3</v>
      </c>
      <c r="E10" s="8">
        <v>9</v>
      </c>
      <c r="F10" s="8">
        <f t="shared" si="0"/>
        <v>54</v>
      </c>
      <c r="G10" s="8">
        <v>11</v>
      </c>
      <c r="I10" t="s">
        <v>138</v>
      </c>
      <c r="J10" s="8">
        <v>0</v>
      </c>
      <c r="K10" s="8">
        <v>0</v>
      </c>
      <c r="L10" s="8">
        <v>0</v>
      </c>
      <c r="O10" t="s">
        <v>138</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75</v>
      </c>
      <c r="B17" s="5">
        <f>VLOOKUP(XP,A2:B15,2,TRUE)</f>
        <v>5</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27</v>
      </c>
      <c r="C1" t="s">
        <v>164</v>
      </c>
    </row>
    <row r="2" spans="1:3" x14ac:dyDescent="0.2">
      <c r="A2" t="s">
        <v>28</v>
      </c>
      <c r="C2" t="s">
        <v>203</v>
      </c>
    </row>
    <row r="3" spans="1:3" x14ac:dyDescent="0.2">
      <c r="A3" t="s">
        <v>29</v>
      </c>
      <c r="C3" t="s">
        <v>204</v>
      </c>
    </row>
    <row r="4" spans="1:3" x14ac:dyDescent="0.2">
      <c r="C4" t="s">
        <v>205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workbookViewId="0">
      <selection activeCell="F16" sqref="F16"/>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20" t="s">
        <v>73</v>
      </c>
      <c r="J1" s="120"/>
      <c r="K1" s="120"/>
      <c r="L1" s="120"/>
      <c r="M1" s="120"/>
      <c r="N1" s="120"/>
      <c r="O1" s="11"/>
    </row>
    <row r="2" spans="1:19" x14ac:dyDescent="0.25">
      <c r="A2" s="12" t="s">
        <v>135</v>
      </c>
      <c r="B2" s="118" t="s">
        <v>279</v>
      </c>
      <c r="C2" s="119"/>
      <c r="E2" s="2"/>
      <c r="F2" s="2"/>
      <c r="G2" s="2"/>
      <c r="I2" s="120"/>
      <c r="J2" s="120"/>
      <c r="K2" s="120"/>
      <c r="L2" s="120"/>
      <c r="M2" s="120"/>
      <c r="N2" s="120"/>
      <c r="O2" s="11"/>
      <c r="Q2" s="1" t="s">
        <v>136</v>
      </c>
      <c r="R2" s="1" t="s">
        <v>52</v>
      </c>
      <c r="S2" s="1" t="s">
        <v>137</v>
      </c>
    </row>
    <row r="3" spans="1:19" x14ac:dyDescent="0.25">
      <c r="A3" s="13" t="s">
        <v>58</v>
      </c>
      <c r="B3" s="121">
        <f>VLOOKUP(TOTAL_XP,XP_LEVEL,2,TRUE)</f>
        <v>5</v>
      </c>
      <c r="C3" s="122"/>
      <c r="D3" s="7"/>
      <c r="E3" s="2"/>
      <c r="F3" s="2"/>
      <c r="G3" s="2"/>
      <c r="I3" s="14" t="s">
        <v>59</v>
      </c>
      <c r="J3" s="14" t="s">
        <v>60</v>
      </c>
      <c r="K3" s="14" t="s">
        <v>52</v>
      </c>
      <c r="L3" s="14" t="s">
        <v>49</v>
      </c>
      <c r="Q3" s="17"/>
      <c r="R3" s="10">
        <v>60</v>
      </c>
    </row>
    <row r="4" spans="1:19" x14ac:dyDescent="0.25">
      <c r="A4" s="12" t="s">
        <v>59</v>
      </c>
      <c r="B4" s="118" t="s">
        <v>97</v>
      </c>
      <c r="C4" s="119"/>
      <c r="E4" s="2"/>
      <c r="F4" s="2"/>
      <c r="G4" s="2"/>
      <c r="I4" s="6">
        <f>VLOOKUP(RACE,RACES,8,FALSE)</f>
        <v>10</v>
      </c>
      <c r="J4" s="6">
        <f>VLOOKUP(PROFESSION,PROFESSIONS,8,FALSE)</f>
        <v>10</v>
      </c>
      <c r="K4" s="6">
        <f>TOTAL_XP_EARNED</f>
        <v>60</v>
      </c>
      <c r="L4" s="6">
        <f>SUM(I4:K4)</f>
        <v>80</v>
      </c>
      <c r="Q4" s="17"/>
      <c r="R4" s="10"/>
    </row>
    <row r="5" spans="1:19" x14ac:dyDescent="0.25">
      <c r="A5" s="13" t="s">
        <v>53</v>
      </c>
      <c r="B5" s="121" t="s">
        <v>79</v>
      </c>
      <c r="C5" s="122"/>
      <c r="E5" s="2"/>
      <c r="F5" s="2"/>
      <c r="G5" s="2"/>
      <c r="Q5" s="17"/>
      <c r="R5" s="10"/>
    </row>
    <row r="6" spans="1:19" x14ac:dyDescent="0.25">
      <c r="A6" s="12" t="s">
        <v>69</v>
      </c>
      <c r="B6" s="118">
        <f>SUM(D6:E6)</f>
        <v>2</v>
      </c>
      <c r="C6" s="119"/>
      <c r="D6" s="2">
        <f>VLOOKUP(TOTAL_XP,XP_LEVEL,3,TRUE)</f>
        <v>2</v>
      </c>
      <c r="E6" s="2">
        <f>FEAT_EXPT</f>
        <v>0</v>
      </c>
      <c r="F6" s="2"/>
      <c r="G6" s="2"/>
      <c r="I6" s="14" t="s">
        <v>61</v>
      </c>
      <c r="J6" s="14" t="s">
        <v>62</v>
      </c>
      <c r="K6" s="14" t="s">
        <v>63</v>
      </c>
      <c r="L6" s="14" t="s">
        <v>65</v>
      </c>
      <c r="M6" s="14" t="s">
        <v>66</v>
      </c>
      <c r="N6" s="14" t="s">
        <v>232</v>
      </c>
      <c r="O6" s="14" t="s">
        <v>49</v>
      </c>
      <c r="Q6" s="17"/>
      <c r="R6" s="10"/>
    </row>
    <row r="7" spans="1:19" x14ac:dyDescent="0.25">
      <c r="A7" s="13" t="s">
        <v>101</v>
      </c>
      <c r="B7" s="121">
        <f>SUM(D7,F7) * IF(CHARACTER_LEVEL &gt; 0, CHARACTER_LEVEL, 1)</f>
        <v>145</v>
      </c>
      <c r="C7" s="122"/>
      <c r="D7" s="2">
        <f>STR * E7 + AGI + INU + CHA + PER</f>
        <v>24</v>
      </c>
      <c r="E7" s="2">
        <f>VLOOKUP(PROFESSION,PROFESSIONS,7,FALSE)</f>
        <v>2</v>
      </c>
      <c r="F7" s="2">
        <f>STAMINA</f>
        <v>5</v>
      </c>
      <c r="G7" s="2"/>
      <c r="I7" s="6">
        <f>Table1[[#Totals],[Code]]</f>
        <v>2</v>
      </c>
      <c r="J7" s="6">
        <f>Table2[[#Totals],[Statistic]]</f>
        <v>14</v>
      </c>
      <c r="K7" s="6">
        <f>FEAT_XP</f>
        <v>56</v>
      </c>
      <c r="L7" s="6">
        <f>RESISTANCES_XP</f>
        <v>0</v>
      </c>
      <c r="M7" s="6">
        <v>0</v>
      </c>
      <c r="N7" s="6">
        <f>SPELL_XP</f>
        <v>0</v>
      </c>
      <c r="O7" s="6">
        <f>SUM(I7:N7)</f>
        <v>72</v>
      </c>
      <c r="Q7" s="17"/>
      <c r="R7" s="10"/>
    </row>
    <row r="8" spans="1:19" x14ac:dyDescent="0.25">
      <c r="A8" s="12" t="s">
        <v>118</v>
      </c>
      <c r="B8" s="118">
        <f>SUM(D8:E8)</f>
        <v>14</v>
      </c>
      <c r="C8" s="119"/>
      <c r="D8" s="2">
        <v>10</v>
      </c>
      <c r="E8" s="2">
        <f>FEAT_MOVEMENT</f>
        <v>4</v>
      </c>
      <c r="F8" s="2"/>
      <c r="G8" s="2"/>
      <c r="Q8" s="17"/>
      <c r="R8" s="10"/>
    </row>
    <row r="9" spans="1:19" x14ac:dyDescent="0.25">
      <c r="A9" s="13" t="s">
        <v>121</v>
      </c>
      <c r="B9" s="121">
        <f>FEAT_ARMOR</f>
        <v>2</v>
      </c>
      <c r="C9" s="122"/>
      <c r="E9" s="2"/>
      <c r="F9" s="2"/>
      <c r="G9" s="2"/>
      <c r="I9" s="15" t="s">
        <v>74</v>
      </c>
      <c r="K9" s="16">
        <f>L4-O7</f>
        <v>8</v>
      </c>
      <c r="Q9" s="17"/>
      <c r="R9" s="10"/>
    </row>
    <row r="10" spans="1:19" x14ac:dyDescent="0.25">
      <c r="A10" s="12" t="s">
        <v>122</v>
      </c>
      <c r="B10" s="118">
        <f>FEAT_AURA</f>
        <v>1</v>
      </c>
      <c r="C10" s="119"/>
      <c r="E10" s="2"/>
      <c r="F10" s="2"/>
      <c r="G10" s="2"/>
      <c r="Q10" s="17"/>
      <c r="R10" s="10"/>
    </row>
    <row r="11" spans="1:19" x14ac:dyDescent="0.25">
      <c r="A11" s="13" t="s">
        <v>206</v>
      </c>
      <c r="B11" s="121">
        <f>D11+E11</f>
        <v>24</v>
      </c>
      <c r="C11" s="122"/>
      <c r="D11" s="2">
        <v>20</v>
      </c>
      <c r="E11" s="2" t="str">
        <f>FEAT_INI</f>
        <v>4</v>
      </c>
      <c r="F11" s="2"/>
      <c r="G11" s="2"/>
      <c r="Q11" s="17"/>
      <c r="R11" s="10"/>
    </row>
    <row r="12" spans="1:19" x14ac:dyDescent="0.25">
      <c r="A12" s="12" t="s">
        <v>207</v>
      </c>
      <c r="B12" s="118">
        <f>D12+E12</f>
        <v>3</v>
      </c>
      <c r="C12" s="119"/>
      <c r="D12" s="2">
        <v>3</v>
      </c>
      <c r="E12" s="2">
        <f>FEAT_AP</f>
        <v>0</v>
      </c>
      <c r="F12" s="2"/>
      <c r="G12" s="2"/>
      <c r="Q12" s="17"/>
      <c r="R12" s="10"/>
    </row>
    <row r="13" spans="1:19" x14ac:dyDescent="0.25">
      <c r="A13" s="13"/>
      <c r="B13" s="121"/>
      <c r="C13" s="122"/>
      <c r="E13" s="2"/>
      <c r="F13" s="2"/>
      <c r="G13" s="2"/>
      <c r="Q13" s="17"/>
      <c r="R13" s="10"/>
    </row>
    <row r="14" spans="1:19" x14ac:dyDescent="0.25">
      <c r="A14" s="12"/>
      <c r="B14" s="118"/>
      <c r="C14" s="119"/>
      <c r="E14" s="2"/>
      <c r="F14" s="2"/>
      <c r="G14" s="2"/>
      <c r="Q14" s="17"/>
      <c r="R14" s="10"/>
    </row>
    <row r="15" spans="1:19" x14ac:dyDescent="0.25">
      <c r="A15" s="13"/>
      <c r="B15" s="121"/>
      <c r="C15" s="122"/>
      <c r="E15" s="2"/>
      <c r="F15" s="2"/>
      <c r="G15" s="2"/>
      <c r="Q15" s="17"/>
      <c r="R15" s="10"/>
    </row>
    <row r="16" spans="1:19" x14ac:dyDescent="0.25">
      <c r="A16" s="12"/>
      <c r="B16" s="118"/>
      <c r="C16" s="119"/>
      <c r="E16" s="2"/>
      <c r="F16" s="2"/>
      <c r="G16" s="2"/>
      <c r="Q16" s="17"/>
      <c r="R16" s="10"/>
    </row>
    <row r="17" spans="1:18" x14ac:dyDescent="0.25">
      <c r="A17" s="13"/>
      <c r="B17" s="121"/>
      <c r="C17" s="122"/>
      <c r="E17" s="2"/>
      <c r="F17" s="2"/>
      <c r="G17" s="2"/>
      <c r="Q17" s="17"/>
      <c r="R17" s="10"/>
    </row>
    <row r="18" spans="1:18" x14ac:dyDescent="0.25">
      <c r="A18" s="12"/>
      <c r="B18" s="118"/>
      <c r="C18" s="119"/>
      <c r="E18" s="2"/>
      <c r="F18" s="2"/>
      <c r="G18" s="2"/>
      <c r="Q18" s="17"/>
      <c r="R18" s="10"/>
    </row>
    <row r="19" spans="1:18" x14ac:dyDescent="0.25">
      <c r="A19" s="13"/>
      <c r="B19" s="121"/>
      <c r="C19" s="122"/>
      <c r="E19" s="2"/>
      <c r="F19" s="2"/>
      <c r="G19" s="2"/>
      <c r="Q19" s="17"/>
      <c r="R19" s="10"/>
    </row>
    <row r="20" spans="1:18" x14ac:dyDescent="0.25">
      <c r="A20" s="12"/>
      <c r="B20" s="118"/>
      <c r="C20" s="119"/>
      <c r="E20" s="2"/>
      <c r="F20" s="2"/>
      <c r="G20" s="2"/>
      <c r="Q20" s="17"/>
      <c r="R20" s="10"/>
    </row>
    <row r="21" spans="1:18" x14ac:dyDescent="0.25">
      <c r="A21" s="13"/>
      <c r="B21" s="121"/>
      <c r="C21" s="122"/>
      <c r="E21" s="2"/>
      <c r="F21" s="2"/>
      <c r="G21" s="2"/>
      <c r="Q21" s="17"/>
      <c r="R21" s="10"/>
    </row>
    <row r="22" spans="1:18" x14ac:dyDescent="0.25">
      <c r="Q22" s="17"/>
      <c r="R22" s="10"/>
    </row>
    <row r="23" spans="1:18" x14ac:dyDescent="0.25">
      <c r="Q23" s="17"/>
      <c r="R23" s="10"/>
    </row>
    <row r="24" spans="1:18" x14ac:dyDescent="0.25">
      <c r="Q24" s="17"/>
      <c r="R24" s="10"/>
    </row>
    <row r="25" spans="1:18" x14ac:dyDescent="0.25">
      <c r="Q25" s="17"/>
      <c r="R25" s="10"/>
    </row>
    <row r="26" spans="1:18" x14ac:dyDescent="0.25">
      <c r="Q26" s="17"/>
      <c r="R26" s="10"/>
    </row>
    <row r="27" spans="1:18" x14ac:dyDescent="0.25">
      <c r="Q27" s="17"/>
      <c r="R27" s="10"/>
    </row>
    <row r="28" spans="1:18" x14ac:dyDescent="0.25">
      <c r="Q28" s="17"/>
      <c r="R28" s="10"/>
    </row>
    <row r="29" spans="1:18" x14ac:dyDescent="0.25">
      <c r="Q29" s="17"/>
      <c r="R29" s="10"/>
    </row>
    <row r="30" spans="1:18" x14ac:dyDescent="0.25">
      <c r="Q30" s="17"/>
      <c r="R30" s="10"/>
    </row>
    <row r="31" spans="1:18" x14ac:dyDescent="0.25">
      <c r="Q31" s="17"/>
      <c r="R31" s="10"/>
    </row>
    <row r="32" spans="1:18" x14ac:dyDescent="0.25">
      <c r="Q32" s="17"/>
      <c r="R32" s="10"/>
    </row>
    <row r="33" spans="17:18" x14ac:dyDescent="0.25">
      <c r="Q33" s="17"/>
      <c r="R33" s="10"/>
    </row>
    <row r="34" spans="17:18" x14ac:dyDescent="0.25">
      <c r="Q34" s="17"/>
      <c r="R34" s="10"/>
    </row>
    <row r="35" spans="17:18" x14ac:dyDescent="0.25">
      <c r="Q35" s="17"/>
      <c r="R35" s="10"/>
    </row>
    <row r="36" spans="17:18" x14ac:dyDescent="0.25">
      <c r="Q36" s="17"/>
      <c r="R36" s="10"/>
    </row>
    <row r="37" spans="17:18" x14ac:dyDescent="0.25">
      <c r="Q37" s="17"/>
      <c r="R37" s="10"/>
    </row>
    <row r="38" spans="17:18" x14ac:dyDescent="0.25">
      <c r="Q38" s="17"/>
      <c r="R38" s="10"/>
    </row>
    <row r="39" spans="17:18" x14ac:dyDescent="0.25">
      <c r="Q39" s="17"/>
      <c r="R39" s="10"/>
    </row>
    <row r="40" spans="17:18" x14ac:dyDescent="0.25">
      <c r="Q40" s="17"/>
      <c r="R40" s="10"/>
    </row>
    <row r="41" spans="17:18" x14ac:dyDescent="0.25">
      <c r="Q41" s="17"/>
      <c r="R41" s="10"/>
    </row>
    <row r="42" spans="17:18" x14ac:dyDescent="0.25">
      <c r="Q42" s="17"/>
      <c r="R42" s="10"/>
    </row>
    <row r="43" spans="17:18" x14ac:dyDescent="0.25">
      <c r="Q43" s="1" t="s">
        <v>49</v>
      </c>
      <c r="R43" s="10">
        <f>SUBTOTAL(109,Table11[XP])</f>
        <v>60</v>
      </c>
    </row>
  </sheetData>
  <mergeCells count="21">
    <mergeCell ref="B19:C19"/>
    <mergeCell ref="B20:C20"/>
    <mergeCell ref="B21:C21"/>
    <mergeCell ref="B13:C13"/>
    <mergeCell ref="B14:C14"/>
    <mergeCell ref="B15:C15"/>
    <mergeCell ref="B16:C16"/>
    <mergeCell ref="B17:C17"/>
    <mergeCell ref="B18:C18"/>
    <mergeCell ref="B12:C12"/>
    <mergeCell ref="I1:N2"/>
    <mergeCell ref="B2:C2"/>
    <mergeCell ref="B3:C3"/>
    <mergeCell ref="B4:C4"/>
    <mergeCell ref="B5:C5"/>
    <mergeCell ref="B6:C6"/>
    <mergeCell ref="B7:C7"/>
    <mergeCell ref="B8:C8"/>
    <mergeCell ref="B9:C9"/>
    <mergeCell ref="B10:C10"/>
    <mergeCell ref="B11:C1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F27" sqref="F27"/>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22</v>
      </c>
      <c r="B1" s="2" t="s">
        <v>35</v>
      </c>
      <c r="C1" s="2" t="s">
        <v>23</v>
      </c>
      <c r="D1" s="2" t="s">
        <v>24</v>
      </c>
      <c r="E1" s="2" t="s">
        <v>25</v>
      </c>
      <c r="F1" s="3" t="s">
        <v>42</v>
      </c>
      <c r="G1" s="2" t="s">
        <v>47</v>
      </c>
      <c r="H1" s="2" t="s">
        <v>50</v>
      </c>
      <c r="I1" s="2" t="s">
        <v>48</v>
      </c>
      <c r="J1" s="2" t="s">
        <v>45</v>
      </c>
      <c r="K1" s="2" t="s">
        <v>88</v>
      </c>
      <c r="L1" s="2" t="s">
        <v>46</v>
      </c>
      <c r="M1" s="2" t="s">
        <v>44</v>
      </c>
      <c r="N1" s="2" t="s">
        <v>40</v>
      </c>
      <c r="O1" s="2" t="s">
        <v>181</v>
      </c>
    </row>
    <row r="2" spans="1:15" x14ac:dyDescent="0.25">
      <c r="A2" s="1" t="s">
        <v>76</v>
      </c>
      <c r="B2" s="2" t="s">
        <v>36</v>
      </c>
      <c r="C2" s="2" t="s">
        <v>28</v>
      </c>
      <c r="D2" s="2" t="s">
        <v>29</v>
      </c>
      <c r="E2" s="2" t="s">
        <v>29</v>
      </c>
      <c r="F2" s="3" t="str">
        <f>IF(C2="Yes","1d20","1d10")</f>
        <v>1d20</v>
      </c>
      <c r="G2" s="2">
        <v>5</v>
      </c>
      <c r="H2" s="2">
        <f>VLOOKUP(RACE,RACES,2,FALSE)</f>
        <v>20</v>
      </c>
      <c r="I2" s="2">
        <f>VLOOKUP(PROF,Table7[],2,FALSE)</f>
        <v>26</v>
      </c>
      <c r="J2" s="2">
        <f>ARMOR_STR</f>
        <v>10</v>
      </c>
      <c r="K2" s="2">
        <f>WEAPON_STR</f>
        <v>10</v>
      </c>
      <c r="L2" s="2">
        <v>0</v>
      </c>
      <c r="M2" s="2">
        <f>SUM(Table1[[#This Row],[START]:[BONUS]])</f>
        <v>71</v>
      </c>
      <c r="N2" s="2">
        <f>ROUNDUP(Table1[[#This Row],[TOTAL]]/10, 0)</f>
        <v>8</v>
      </c>
      <c r="O2" s="2" t="str">
        <f>Table1[[#This Row],[DICE]] &amp; " " &amp; CHAR(43) &amp; " " &amp; IF(Table1[[#This Row],[Skilled]] = "Yes",LVL,0) + IF(Table1[[#This Row],[Expert]]="Yes",EXPERTISE,0)</f>
        <v>1d20 + 0</v>
      </c>
    </row>
    <row r="3" spans="1:15" x14ac:dyDescent="0.25">
      <c r="A3" s="1" t="s">
        <v>31</v>
      </c>
      <c r="B3" s="2" t="s">
        <v>37</v>
      </c>
      <c r="C3" s="2" t="s">
        <v>29</v>
      </c>
      <c r="D3" s="2" t="s">
        <v>29</v>
      </c>
      <c r="E3" s="2" t="s">
        <v>29</v>
      </c>
      <c r="F3" s="3" t="str">
        <f t="shared" ref="F3:F6" si="0">IF(C3="Yes","1d20","1d10")</f>
        <v>1d10</v>
      </c>
      <c r="G3" s="2">
        <v>5</v>
      </c>
      <c r="H3" s="2">
        <f>VLOOKUP(RACE,RACES,3,FALSE)</f>
        <v>0</v>
      </c>
      <c r="I3" s="2">
        <f>VLOOKUP(PROF,Table7[],3,FALSE)</f>
        <v>0</v>
      </c>
      <c r="J3" s="2">
        <f>ARMOR_AGI</f>
        <v>0</v>
      </c>
      <c r="K3" s="2">
        <f>WEAPON_AGI</f>
        <v>0</v>
      </c>
      <c r="L3" s="2">
        <v>0</v>
      </c>
      <c r="M3" s="2">
        <f>SUM(Table1[[#This Row],[START]:[BONUS]])</f>
        <v>5</v>
      </c>
      <c r="N3" s="2">
        <f>ROUNDUP(Table1[[#This Row],[TOTAL]]/10, 0)</f>
        <v>1</v>
      </c>
      <c r="O3" s="2" t="str">
        <f>Table1[[#This Row],[DICE]] &amp; " " &amp; CHAR(43) &amp; " " &amp; IF(Table1[[#This Row],[Skilled]] = "Yes",LVL,0) + IF(Table1[[#This Row],[Expert]]="Yes",EXPERTISE,0)</f>
        <v>1d10 + 0</v>
      </c>
    </row>
    <row r="4" spans="1:15" x14ac:dyDescent="0.25">
      <c r="A4" s="1" t="s">
        <v>32</v>
      </c>
      <c r="B4" s="2" t="s">
        <v>38</v>
      </c>
      <c r="C4" s="2" t="s">
        <v>29</v>
      </c>
      <c r="D4" s="2" t="s">
        <v>29</v>
      </c>
      <c r="E4" s="2" t="s">
        <v>29</v>
      </c>
      <c r="F4" s="3" t="str">
        <f t="shared" si="0"/>
        <v>1d10</v>
      </c>
      <c r="G4" s="2">
        <v>5</v>
      </c>
      <c r="H4" s="2">
        <f>VLOOKUP(RACE,RACES,4,FALSE)</f>
        <v>6</v>
      </c>
      <c r="I4" s="2">
        <f>VLOOKUP(PROF,Table7[],4,FALSE)</f>
        <v>0</v>
      </c>
      <c r="J4" s="2">
        <f>ARMOR_INU</f>
        <v>0</v>
      </c>
      <c r="K4" s="2">
        <f>WEAPON_INU</f>
        <v>0</v>
      </c>
      <c r="L4" s="2">
        <v>0</v>
      </c>
      <c r="M4" s="2">
        <f>SUM(Table1[[#This Row],[START]:[BONUS]])</f>
        <v>11</v>
      </c>
      <c r="N4" s="2">
        <f>ROUNDUP(Table1[[#This Row],[TOTAL]]/10, 0)</f>
        <v>2</v>
      </c>
      <c r="O4" s="2" t="str">
        <f>Table1[[#This Row],[DICE]] &amp; " " &amp; CHAR(43) &amp; " " &amp; IF(Table1[[#This Row],[Skilled]] = "Yes",LVL,0) + IF(Table1[[#This Row],[Expert]]="Yes",EXPERTISE,0)</f>
        <v>1d10 + 0</v>
      </c>
    </row>
    <row r="5" spans="1:15" x14ac:dyDescent="0.25">
      <c r="A5" s="1" t="s">
        <v>54</v>
      </c>
      <c r="B5" s="2" t="s">
        <v>55</v>
      </c>
      <c r="C5" s="2" t="s">
        <v>29</v>
      </c>
      <c r="D5" s="2" t="s">
        <v>29</v>
      </c>
      <c r="E5" s="2" t="s">
        <v>29</v>
      </c>
      <c r="F5" s="3" t="s">
        <v>56</v>
      </c>
      <c r="G5" s="2">
        <v>5</v>
      </c>
      <c r="H5" s="2">
        <f>VLOOKUP(RACE,RACES,5,FALSE)</f>
        <v>18</v>
      </c>
      <c r="I5" s="2">
        <f>VLOOKUP(PROF,Table7[],5,FALSE)</f>
        <v>0</v>
      </c>
      <c r="J5" s="2">
        <f>ARMOR_CHA</f>
        <v>0</v>
      </c>
      <c r="K5" s="2">
        <f>WEAPON_CHA</f>
        <v>0</v>
      </c>
      <c r="L5" s="2">
        <v>0</v>
      </c>
      <c r="M5" s="2">
        <f>SUM(Table1[[#This Row],[START]:[BONUS]])</f>
        <v>23</v>
      </c>
      <c r="N5" s="2">
        <f>ROUNDUP(Table1[[#This Row],[TOTAL]]/10, 0)</f>
        <v>3</v>
      </c>
      <c r="O5" s="2" t="str">
        <f>Table1[[#This Row],[DICE]] &amp; " " &amp; CHAR(43) &amp; " " &amp; IF(Table1[[#This Row],[Skilled]] = "Yes",LVL,0) + IF(Table1[[#This Row],[Expert]]="Yes",EXPERTISE,0)</f>
        <v>1d10 + 0</v>
      </c>
    </row>
    <row r="6" spans="1:15" x14ac:dyDescent="0.25">
      <c r="A6" s="1" t="s">
        <v>33</v>
      </c>
      <c r="B6" s="2" t="s">
        <v>39</v>
      </c>
      <c r="C6" s="2" t="s">
        <v>29</v>
      </c>
      <c r="D6" s="2" t="s">
        <v>29</v>
      </c>
      <c r="E6" s="2" t="s">
        <v>29</v>
      </c>
      <c r="F6" s="3" t="str">
        <f t="shared" si="0"/>
        <v>1d10</v>
      </c>
      <c r="G6" s="2">
        <v>5</v>
      </c>
      <c r="H6" s="2">
        <f>VLOOKUP(RACE,RACES,6,FALSE)</f>
        <v>6</v>
      </c>
      <c r="I6" s="2">
        <f>VLOOKUP(PROF,Table7[],6,FALSE)</f>
        <v>8</v>
      </c>
      <c r="J6" s="2">
        <f>ARMOR_PER</f>
        <v>0</v>
      </c>
      <c r="K6" s="2">
        <f>WEAPON_PER</f>
        <v>0</v>
      </c>
      <c r="L6" s="2">
        <v>0</v>
      </c>
      <c r="M6" s="2">
        <f>SUM(Table1[[#This Row],[START]:[BONUS]])</f>
        <v>19</v>
      </c>
      <c r="N6" s="2">
        <f>ROUNDUP(Table1[[#This Row],[TOTAL]]/10, 0)</f>
        <v>2</v>
      </c>
      <c r="O6" s="2" t="str">
        <f>Table1[[#This Row],[DICE]] &amp; " " &amp; CHAR(43) &amp; " " &amp; IF(Table1[[#This Row],[Skilled]] = "Yes",LVL,0) + IF(Table1[[#This Row],[Expert]]="Yes",EXPERTISE,0)</f>
        <v>1d10 + 0</v>
      </c>
    </row>
    <row r="7" spans="1:15" x14ac:dyDescent="0.25">
      <c r="A7" s="1" t="s">
        <v>51</v>
      </c>
      <c r="B7" s="2">
        <f>SUM(Table1[[#Totals],[Bought]:[Expert]])</f>
        <v>2</v>
      </c>
      <c r="C7" s="2">
        <f>COUNTIF(Table1[Bought], "Yes") * 2</f>
        <v>2</v>
      </c>
      <c r="D7" s="2">
        <f>COUNTIF(Table1[Skilled], "Yes") * 3</f>
        <v>0</v>
      </c>
      <c r="E7" s="2">
        <f>COUNTIF(Table1[Expert], "Yes") * 3</f>
        <v>0</v>
      </c>
      <c r="F7" s="3"/>
      <c r="M7" s="2"/>
      <c r="N7" s="2"/>
      <c r="O7" s="2"/>
    </row>
  </sheetData>
  <conditionalFormatting sqref="C2:E6">
    <cfRule type="containsText" dxfId="288" priority="8" operator="containsText" text="No">
      <formula>NOT(ISERROR(SEARCH("No",C2)))</formula>
    </cfRule>
  </conditionalFormatting>
  <conditionalFormatting sqref="F2:F6">
    <cfRule type="containsText" dxfId="287" priority="7" operator="containsText" text="1d10">
      <formula>NOT(ISERROR(SEARCH("1d10",F2)))</formula>
    </cfRule>
  </conditionalFormatting>
  <conditionalFormatting sqref="J5:L6 H2:L3 I4:L4">
    <cfRule type="cellIs" dxfId="286" priority="6" operator="equal">
      <formula>0</formula>
    </cfRule>
  </conditionalFormatting>
  <conditionalFormatting sqref="I5">
    <cfRule type="cellIs" dxfId="285" priority="5" operator="equal">
      <formula>0</formula>
    </cfRule>
  </conditionalFormatting>
  <conditionalFormatting sqref="I6">
    <cfRule type="cellIs" dxfId="284" priority="4" operator="equal">
      <formula>0</formula>
    </cfRule>
  </conditionalFormatting>
  <conditionalFormatting sqref="H4">
    <cfRule type="cellIs" dxfId="283" priority="3" operator="equal">
      <formula>0</formula>
    </cfRule>
  </conditionalFormatting>
  <conditionalFormatting sqref="H5">
    <cfRule type="cellIs" dxfId="282" priority="2" operator="equal">
      <formula>0</formula>
    </cfRule>
  </conditionalFormatting>
  <conditionalFormatting sqref="H6">
    <cfRule type="cellIs" dxfId="281"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D39" sqref="D39"/>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22</v>
      </c>
      <c r="B1" s="2" t="s">
        <v>34</v>
      </c>
      <c r="C1" s="2" t="s">
        <v>23</v>
      </c>
      <c r="D1" s="2" t="s">
        <v>24</v>
      </c>
      <c r="E1" s="2" t="s">
        <v>26</v>
      </c>
      <c r="F1" s="2" t="s">
        <v>25</v>
      </c>
      <c r="G1" s="4" t="s">
        <v>42</v>
      </c>
      <c r="H1" s="2" t="s">
        <v>40</v>
      </c>
      <c r="I1" s="2" t="s">
        <v>41</v>
      </c>
      <c r="J1" s="2" t="s">
        <v>43</v>
      </c>
      <c r="K1" s="2" t="s">
        <v>44</v>
      </c>
    </row>
    <row r="2" spans="1:25" x14ac:dyDescent="0.25">
      <c r="A2" s="1" t="s">
        <v>0</v>
      </c>
      <c r="B2" s="2" t="s">
        <v>36</v>
      </c>
      <c r="C2" s="2" t="s">
        <v>28</v>
      </c>
      <c r="D2" s="2" t="s">
        <v>28</v>
      </c>
      <c r="E2" s="2" t="s">
        <v>28</v>
      </c>
      <c r="F2" s="2" t="s">
        <v>29</v>
      </c>
      <c r="G2" s="4" t="str">
        <f t="shared" ref="G2:G25" si="0">IF(C2="Yes","1d20","1d10")</f>
        <v>1d20</v>
      </c>
      <c r="H2" s="2">
        <f>IF(Table2[[#This Row],[Skilled]] = "YES",VLOOKUP(Table2[[#This Row],[Statistic]],Table1[[Code]:[STAT]],13,FALSE), 0)</f>
        <v>8</v>
      </c>
      <c r="I2" s="2">
        <f>IF(Table2[[#This Row],[Professional]]="Yes",LVL,0)</f>
        <v>5</v>
      </c>
      <c r="J2" s="2">
        <f>IF(Table2[[#This Row],[Expert]]="Yes", EXPERTISE, 0)</f>
        <v>0</v>
      </c>
      <c r="K2" s="2" t="str">
        <f>Table2[[#This Row],[DICE]] &amp; " " &amp; CHAR(43) &amp; " " &amp; SUM(H2:J2)</f>
        <v>1d20 + 13</v>
      </c>
    </row>
    <row r="3" spans="1:25" x14ac:dyDescent="0.25">
      <c r="A3" s="1" t="s">
        <v>1</v>
      </c>
      <c r="B3" s="2" t="s">
        <v>36</v>
      </c>
      <c r="C3" s="2" t="s">
        <v>29</v>
      </c>
      <c r="D3" s="2" t="s">
        <v>29</v>
      </c>
      <c r="E3" s="2" t="s">
        <v>29</v>
      </c>
      <c r="F3" s="2" t="s">
        <v>29</v>
      </c>
      <c r="G3" s="4" t="str">
        <f t="shared" si="0"/>
        <v>1d10</v>
      </c>
      <c r="H3" s="2">
        <f>IF(Table2[[#This Row],[Skilled]] = "YES",VLOOKUP(Table2[[#This Row],[Statistic]],Table1[[Code]:[STAT]],13,FALSE), 0)</f>
        <v>0</v>
      </c>
      <c r="I3" s="2">
        <f>IF(Table2[[#This Row],[Professional]]="Yes",LVL,0)</f>
        <v>0</v>
      </c>
      <c r="J3" s="2">
        <v>0</v>
      </c>
      <c r="K3" s="2" t="str">
        <f>Table2[[#This Row],[DICE]] &amp; " " &amp; CHAR(43) &amp; " " &amp; SUM(H3:J3)</f>
        <v>1d10 + 0</v>
      </c>
    </row>
    <row r="4" spans="1:25" x14ac:dyDescent="0.25">
      <c r="A4" s="1" t="s">
        <v>21</v>
      </c>
      <c r="B4" s="2" t="s">
        <v>37</v>
      </c>
      <c r="C4" s="2" t="s">
        <v>29</v>
      </c>
      <c r="D4" s="2" t="s">
        <v>29</v>
      </c>
      <c r="E4" s="2" t="s">
        <v>29</v>
      </c>
      <c r="F4" s="2" t="s">
        <v>29</v>
      </c>
      <c r="G4" s="4" t="str">
        <f t="shared" si="0"/>
        <v>1d10</v>
      </c>
      <c r="H4" s="2">
        <f>IF(Table2[[#This Row],[Skilled]] = "YES",VLOOKUP(Table2[[#This Row],[Statistic]],Table1[[Code]:[STAT]],13,FALSE), 0)</f>
        <v>0</v>
      </c>
      <c r="I4" s="2">
        <f>IF(Table2[[#This Row],[Professional]]="Yes",LVL,0)</f>
        <v>0</v>
      </c>
      <c r="J4" s="2">
        <v>0</v>
      </c>
      <c r="K4" s="2" t="str">
        <f>Table2[[#This Row],[DICE]] &amp; " " &amp; CHAR(43) &amp; " " &amp; SUM(H4:J4) + ARMOR_DODGE</f>
        <v>1d10 + 0</v>
      </c>
    </row>
    <row r="5" spans="1:25" x14ac:dyDescent="0.25">
      <c r="A5" s="1" t="s">
        <v>2</v>
      </c>
      <c r="B5" s="2" t="s">
        <v>37</v>
      </c>
      <c r="C5" s="2" t="s">
        <v>29</v>
      </c>
      <c r="D5" s="2" t="s">
        <v>29</v>
      </c>
      <c r="E5" s="2" t="s">
        <v>29</v>
      </c>
      <c r="F5" s="2" t="s">
        <v>29</v>
      </c>
      <c r="G5" s="4" t="str">
        <f t="shared" si="0"/>
        <v>1d10</v>
      </c>
      <c r="H5" s="2">
        <f>IF(Table2[[#This Row],[Skilled]] = "YES",VLOOKUP(Table2[[#This Row],[Statistic]],Table1[[Code]:[STAT]],13,FALSE), 0)</f>
        <v>0</v>
      </c>
      <c r="I5" s="2">
        <f>IF(Table2[[#This Row],[Professional]]="Yes",LVL,0)</f>
        <v>0</v>
      </c>
      <c r="J5" s="2">
        <v>0</v>
      </c>
      <c r="K5" s="2" t="str">
        <f>Table2[[#This Row],[DICE]] &amp; " " &amp; CHAR(43) &amp; " " &amp; SUM(H5:J5)</f>
        <v>1d10 + 0</v>
      </c>
    </row>
    <row r="6" spans="1:25" x14ac:dyDescent="0.25">
      <c r="A6" s="1" t="s">
        <v>3</v>
      </c>
      <c r="B6" s="2" t="s">
        <v>38</v>
      </c>
      <c r="C6" s="2" t="s">
        <v>29</v>
      </c>
      <c r="D6" s="2" t="s">
        <v>29</v>
      </c>
      <c r="E6" s="2" t="s">
        <v>29</v>
      </c>
      <c r="F6" s="2" t="s">
        <v>29</v>
      </c>
      <c r="G6" s="4" t="str">
        <f t="shared" si="0"/>
        <v>1d10</v>
      </c>
      <c r="H6" s="2">
        <f>IF(Table2[[#This Row],[Skilled]] = "YES",VLOOKUP(Table2[[#This Row],[Statistic]],Table1[[Code]:[STAT]],13,FALSE), 0)</f>
        <v>0</v>
      </c>
      <c r="I6" s="2">
        <f>IF(Table2[[#This Row],[Professional]]="Yes",LVL,0)</f>
        <v>0</v>
      </c>
      <c r="J6" s="2">
        <v>0</v>
      </c>
      <c r="K6" s="2" t="str">
        <f>Table2[[#This Row],[DICE]] &amp; " " &amp; CHAR(43) &amp; " " &amp; SUM(H6:J6)</f>
        <v>1d10 + 0</v>
      </c>
    </row>
    <row r="7" spans="1:25" x14ac:dyDescent="0.25">
      <c r="A7" s="1" t="s">
        <v>57</v>
      </c>
      <c r="B7" s="2" t="s">
        <v>37</v>
      </c>
      <c r="C7" s="2" t="s">
        <v>29</v>
      </c>
      <c r="D7" s="2" t="s">
        <v>29</v>
      </c>
      <c r="E7" s="2" t="s">
        <v>29</v>
      </c>
      <c r="F7" s="2" t="s">
        <v>29</v>
      </c>
      <c r="G7" s="4" t="str">
        <f>IF(C7="Yes","1d20","1d10")</f>
        <v>1d10</v>
      </c>
      <c r="H7" s="2">
        <f>IF(Table2[[#This Row],[Skilled]] = "YES",VLOOKUP(Table2[[#This Row],[Statistic]],Table1[[Code]:[STAT]],13,FALSE), 0)</f>
        <v>0</v>
      </c>
      <c r="I7" s="2">
        <f>IF(Table2[[#This Row],[Professional]]="Yes",LVL,0)</f>
        <v>0</v>
      </c>
      <c r="J7" s="2">
        <v>0</v>
      </c>
      <c r="K7" s="2" t="str">
        <f>Table2[[#This Row],[DICE]] &amp; " " &amp; CHAR(43) &amp; " " &amp; SUM(H7:J7)</f>
        <v>1d10 + 0</v>
      </c>
    </row>
    <row r="8" spans="1:25" x14ac:dyDescent="0.25">
      <c r="A8" s="1" t="s">
        <v>4</v>
      </c>
      <c r="B8" s="2" t="s">
        <v>38</v>
      </c>
      <c r="C8" s="2" t="s">
        <v>29</v>
      </c>
      <c r="D8" s="2" t="s">
        <v>29</v>
      </c>
      <c r="E8" s="2" t="s">
        <v>29</v>
      </c>
      <c r="F8" s="2" t="s">
        <v>29</v>
      </c>
      <c r="G8" s="4" t="str">
        <f t="shared" si="0"/>
        <v>1d10</v>
      </c>
      <c r="H8" s="2">
        <f>IF(Table2[[#This Row],[Skilled]] = "YES",VLOOKUP(Table2[[#This Row],[Statistic]],Table1[[Code]:[STAT]],13,FALSE), 0)</f>
        <v>0</v>
      </c>
      <c r="I8" s="2">
        <f>IF(Table2[[#This Row],[Professional]]="Yes",LVL,0)</f>
        <v>0</v>
      </c>
      <c r="J8" s="2">
        <v>0</v>
      </c>
      <c r="K8" s="2" t="str">
        <f>Table2[[#This Row],[DICE]] &amp; " " &amp; CHAR(43) &amp; " " &amp; SUM(H8:J8)</f>
        <v>1d10 + 0</v>
      </c>
      <c r="M8" s="48"/>
      <c r="N8" s="48"/>
      <c r="O8" s="48"/>
      <c r="P8" s="48"/>
      <c r="Q8" s="48"/>
      <c r="R8" s="48"/>
      <c r="S8" s="48"/>
      <c r="T8" s="48"/>
      <c r="U8" s="48"/>
      <c r="V8" s="48"/>
      <c r="W8" s="48"/>
      <c r="X8" s="48"/>
      <c r="Y8" s="48"/>
    </row>
    <row r="9" spans="1:25" x14ac:dyDescent="0.25">
      <c r="A9" s="1" t="s">
        <v>17</v>
      </c>
      <c r="B9" s="2" t="s">
        <v>38</v>
      </c>
      <c r="C9" s="2" t="s">
        <v>29</v>
      </c>
      <c r="D9" s="2" t="s">
        <v>29</v>
      </c>
      <c r="E9" s="2" t="s">
        <v>29</v>
      </c>
      <c r="F9" s="2" t="s">
        <v>29</v>
      </c>
      <c r="G9" s="4" t="str">
        <f t="shared" si="0"/>
        <v>1d10</v>
      </c>
      <c r="H9" s="2">
        <f>IF(Table2[[#This Row],[Skilled]] = "YES",VLOOKUP(Table2[[#This Row],[Statistic]],Table1[[Code]:[STAT]],13,FALSE), 0)</f>
        <v>0</v>
      </c>
      <c r="I9" s="2">
        <f>IF(Table2[[#This Row],[Professional]]="Yes",LVL,0)</f>
        <v>0</v>
      </c>
      <c r="J9" s="2">
        <v>0</v>
      </c>
      <c r="K9" s="2" t="str">
        <f>Table2[[#This Row],[DICE]] &amp; " " &amp; CHAR(43) &amp; " " &amp; SUM(H9:J9)</f>
        <v>1d10 + 0</v>
      </c>
      <c r="M9" s="48"/>
      <c r="N9" s="48"/>
      <c r="O9" s="48"/>
      <c r="P9" s="48"/>
      <c r="Q9" s="48"/>
      <c r="R9" s="48"/>
      <c r="S9" s="48"/>
      <c r="T9" s="48"/>
      <c r="U9" s="48"/>
      <c r="V9" s="48"/>
      <c r="W9" s="48"/>
      <c r="X9" s="48"/>
      <c r="Y9" s="48"/>
    </row>
    <row r="10" spans="1:25" x14ac:dyDescent="0.25">
      <c r="A10" s="1" t="s">
        <v>68</v>
      </c>
      <c r="B10" s="2" t="s">
        <v>38</v>
      </c>
      <c r="C10" s="2" t="s">
        <v>29</v>
      </c>
      <c r="D10" s="2" t="s">
        <v>29</v>
      </c>
      <c r="E10" s="2" t="s">
        <v>29</v>
      </c>
      <c r="F10" s="2" t="s">
        <v>29</v>
      </c>
      <c r="G10" s="4" t="str">
        <f>IF(C10="Yes","1d20","1d10")</f>
        <v>1d10</v>
      </c>
      <c r="H10" s="2">
        <f>IF(Table2[[#This Row],[Skilled]] = "YES",VLOOKUP(Table2[[#This Row],[Statistic]],Table1[[Code]:[STAT]],13,FALSE), 0)</f>
        <v>0</v>
      </c>
      <c r="I10" s="2">
        <f>IF(Table2[[#This Row],[Professional]]="Yes",LVL,0)</f>
        <v>0</v>
      </c>
      <c r="J10" s="2">
        <v>0</v>
      </c>
      <c r="K10" s="2" t="str">
        <f>Table2[[#This Row],[DICE]] &amp; " " &amp; CHAR(43) &amp; " " &amp; SUM(H10:J10)</f>
        <v>1d10 + 0</v>
      </c>
      <c r="M10" s="48"/>
      <c r="O10" s="2"/>
      <c r="P10" s="49"/>
      <c r="Q10" s="49"/>
      <c r="R10" s="49"/>
      <c r="S10" s="49"/>
      <c r="T10" s="49"/>
      <c r="U10" s="49"/>
      <c r="V10" s="49"/>
      <c r="W10" s="49"/>
      <c r="X10" s="49"/>
      <c r="Y10" s="48"/>
    </row>
    <row r="11" spans="1:25" x14ac:dyDescent="0.25">
      <c r="A11" s="1" t="s">
        <v>67</v>
      </c>
      <c r="B11" s="2" t="s">
        <v>55</v>
      </c>
      <c r="C11" s="2" t="s">
        <v>29</v>
      </c>
      <c r="D11" s="2" t="s">
        <v>29</v>
      </c>
      <c r="E11" s="2" t="s">
        <v>29</v>
      </c>
      <c r="F11" s="2" t="s">
        <v>29</v>
      </c>
      <c r="G11" s="4" t="str">
        <f>IF(C11="Yes","1d20","1d10")</f>
        <v>1d10</v>
      </c>
      <c r="H11" s="2">
        <f>IF(Table2[[#This Row],[Skilled]] = "YES",VLOOKUP(Table2[[#This Row],[Statistic]],Table1[[Code]:[STAT]],13,FALSE), 0)</f>
        <v>0</v>
      </c>
      <c r="I11" s="2">
        <f>IF(Table2[[#This Row],[Professional]]="Yes",LVL,0)</f>
        <v>0</v>
      </c>
      <c r="J11" s="2">
        <v>0</v>
      </c>
      <c r="K11" s="2" t="str">
        <f>Table2[[#This Row],[DICE]] &amp; " " &amp; CHAR(43) &amp; " " &amp; SUM(H11:J11)</f>
        <v>1d10 + 0</v>
      </c>
      <c r="M11" s="48"/>
      <c r="O11" s="2"/>
      <c r="P11" s="49"/>
      <c r="Q11" s="49"/>
      <c r="R11" s="49"/>
      <c r="S11" s="49"/>
      <c r="T11" s="49"/>
      <c r="U11" s="49"/>
      <c r="V11" s="49"/>
      <c r="W11" s="49"/>
      <c r="X11" s="49"/>
      <c r="Y11" s="48"/>
    </row>
    <row r="12" spans="1:25" x14ac:dyDescent="0.25">
      <c r="A12" s="1" t="s">
        <v>5</v>
      </c>
      <c r="B12" s="2" t="s">
        <v>38</v>
      </c>
      <c r="C12" s="2" t="s">
        <v>29</v>
      </c>
      <c r="D12" s="2" t="s">
        <v>29</v>
      </c>
      <c r="E12" s="2" t="s">
        <v>29</v>
      </c>
      <c r="F12" s="2" t="s">
        <v>29</v>
      </c>
      <c r="G12" s="4" t="str">
        <f t="shared" si="0"/>
        <v>1d10</v>
      </c>
      <c r="H12" s="2">
        <f>IF(Table2[[#This Row],[Skilled]] = "YES",VLOOKUP(Table2[[#This Row],[Statistic]],Table1[[Code]:[STAT]],13,FALSE), 0)</f>
        <v>0</v>
      </c>
      <c r="I12" s="2">
        <f>IF(Table2[[#This Row],[Professional]]="Yes",LVL,0)</f>
        <v>0</v>
      </c>
      <c r="J12" s="2">
        <v>0</v>
      </c>
      <c r="K12" s="2" t="str">
        <f>Table2[[#This Row],[DICE]] &amp; " " &amp; CHAR(43) &amp; " " &amp; SUM(H12:J12)</f>
        <v>1d10 + 0</v>
      </c>
      <c r="M12" s="48"/>
      <c r="O12" s="2"/>
      <c r="P12" s="49"/>
      <c r="Q12" s="49"/>
      <c r="R12" s="49"/>
      <c r="S12" s="49"/>
      <c r="T12" s="49"/>
      <c r="U12" s="49"/>
      <c r="V12" s="49"/>
      <c r="W12" s="49"/>
      <c r="X12" s="49"/>
      <c r="Y12" s="48"/>
    </row>
    <row r="13" spans="1:25" x14ac:dyDescent="0.25">
      <c r="A13" s="1" t="s">
        <v>6</v>
      </c>
      <c r="B13" s="2" t="s">
        <v>55</v>
      </c>
      <c r="C13" s="2" t="s">
        <v>29</v>
      </c>
      <c r="D13" s="2" t="s">
        <v>29</v>
      </c>
      <c r="E13" s="2" t="s">
        <v>29</v>
      </c>
      <c r="F13" s="2" t="s">
        <v>29</v>
      </c>
      <c r="G13" s="4" t="str">
        <f t="shared" si="0"/>
        <v>1d10</v>
      </c>
      <c r="H13" s="2">
        <f>IF(Table2[[#This Row],[Skilled]] = "YES",VLOOKUP(Table2[[#This Row],[Statistic]],Table1[[Code]:[STAT]],13,FALSE), 0)</f>
        <v>0</v>
      </c>
      <c r="I13" s="2">
        <f>IF(Table2[[#This Row],[Professional]]="Yes",LVL,0)</f>
        <v>0</v>
      </c>
      <c r="J13" s="2">
        <v>0</v>
      </c>
      <c r="K13" s="2" t="str">
        <f>Table2[[#This Row],[DICE]] &amp; " " &amp; CHAR(43) &amp; " " &amp; SUM(H13:J13)</f>
        <v>1d10 + 0</v>
      </c>
      <c r="M13" s="48"/>
      <c r="O13" s="2"/>
      <c r="P13" s="49"/>
      <c r="Q13" s="49"/>
      <c r="R13" s="49"/>
      <c r="S13" s="49"/>
      <c r="T13" s="49"/>
      <c r="U13" s="49"/>
      <c r="V13" s="49"/>
      <c r="W13" s="49"/>
      <c r="X13" s="49"/>
      <c r="Y13" s="48"/>
    </row>
    <row r="14" spans="1:25" x14ac:dyDescent="0.25">
      <c r="A14" s="1" t="s">
        <v>7</v>
      </c>
      <c r="B14" s="2" t="s">
        <v>39</v>
      </c>
      <c r="C14" s="2" t="s">
        <v>29</v>
      </c>
      <c r="D14" s="2" t="s">
        <v>29</v>
      </c>
      <c r="E14" s="2" t="s">
        <v>29</v>
      </c>
      <c r="F14" s="2" t="s">
        <v>29</v>
      </c>
      <c r="G14" s="4" t="str">
        <f t="shared" si="0"/>
        <v>1d10</v>
      </c>
      <c r="H14" s="2">
        <f>IF(Table2[[#This Row],[Skilled]] = "YES",VLOOKUP(Table2[[#This Row],[Statistic]],Table1[[Code]:[STAT]],13,FALSE), 0)</f>
        <v>0</v>
      </c>
      <c r="I14" s="2">
        <f>IF(Table2[[#This Row],[Professional]]="Yes",LVL,0)</f>
        <v>0</v>
      </c>
      <c r="J14" s="2">
        <v>0</v>
      </c>
      <c r="K14" s="2" t="str">
        <f>Table2[[#This Row],[DICE]] &amp; " " &amp; CHAR(43) &amp; " " &amp; SUM(H14:J14)</f>
        <v>1d10 + 0</v>
      </c>
      <c r="M14" s="48"/>
      <c r="O14" s="2"/>
      <c r="P14" s="49"/>
      <c r="Q14" s="49"/>
      <c r="R14" s="49"/>
      <c r="S14" s="49"/>
      <c r="T14" s="49"/>
      <c r="U14" s="49"/>
      <c r="V14" s="49"/>
      <c r="W14" s="49"/>
      <c r="X14" s="49"/>
      <c r="Y14" s="48"/>
    </row>
    <row r="15" spans="1:25" x14ac:dyDescent="0.25">
      <c r="A15" s="1" t="s">
        <v>8</v>
      </c>
      <c r="B15" s="2" t="s">
        <v>37</v>
      </c>
      <c r="C15" s="2" t="s">
        <v>29</v>
      </c>
      <c r="D15" s="2" t="s">
        <v>29</v>
      </c>
      <c r="E15" s="2" t="s">
        <v>29</v>
      </c>
      <c r="F15" s="2" t="s">
        <v>29</v>
      </c>
      <c r="G15" s="4" t="str">
        <f t="shared" si="0"/>
        <v>1d10</v>
      </c>
      <c r="H15" s="2">
        <f>IF(Table2[[#This Row],[Skilled]] = "YES",VLOOKUP(Table2[[#This Row],[Statistic]],Table1[[Code]:[STAT]],13,FALSE), 0)</f>
        <v>0</v>
      </c>
      <c r="I15" s="2">
        <f>IF(Table2[[#This Row],[Professional]]="Yes",LVL,0)</f>
        <v>0</v>
      </c>
      <c r="J15" s="2">
        <v>0</v>
      </c>
      <c r="K15" s="2" t="str">
        <f>Table2[[#This Row],[DICE]] &amp; " " &amp; CHAR(43) &amp; " " &amp; SUM(H15:J15)</f>
        <v>1d10 + 0</v>
      </c>
      <c r="M15" s="48"/>
      <c r="O15" s="2"/>
      <c r="P15" s="49"/>
      <c r="Q15" s="49"/>
      <c r="R15" s="49"/>
      <c r="S15" s="49"/>
      <c r="T15" s="49"/>
      <c r="U15" s="49"/>
      <c r="V15" s="49"/>
      <c r="W15" s="49"/>
      <c r="X15" s="49"/>
      <c r="Y15" s="48"/>
    </row>
    <row r="16" spans="1:25" x14ac:dyDescent="0.25">
      <c r="A16" s="1" t="s">
        <v>9</v>
      </c>
      <c r="B16" s="2" t="s">
        <v>38</v>
      </c>
      <c r="C16" s="2" t="s">
        <v>29</v>
      </c>
      <c r="D16" s="2" t="s">
        <v>29</v>
      </c>
      <c r="E16" s="2" t="s">
        <v>29</v>
      </c>
      <c r="F16" s="2" t="s">
        <v>29</v>
      </c>
      <c r="G16" s="4" t="str">
        <f t="shared" si="0"/>
        <v>1d10</v>
      </c>
      <c r="H16" s="2">
        <f>IF(Table2[[#This Row],[Skilled]] = "YES",VLOOKUP(Table2[[#This Row],[Statistic]],Table1[[Code]:[STAT]],13,FALSE), 0)</f>
        <v>0</v>
      </c>
      <c r="I16" s="2">
        <f>IF(Table2[[#This Row],[Professional]]="Yes",LVL,0)</f>
        <v>0</v>
      </c>
      <c r="J16" s="2">
        <v>0</v>
      </c>
      <c r="K16" s="2" t="str">
        <f>Table2[[#This Row],[DICE]] &amp; " " &amp; CHAR(43) &amp; " " &amp; SUM(H16:J16)</f>
        <v>1d10 + 0</v>
      </c>
      <c r="M16" s="48"/>
      <c r="O16" s="2"/>
      <c r="P16" s="49"/>
      <c r="Q16" s="49"/>
      <c r="R16" s="49"/>
      <c r="S16" s="49"/>
      <c r="T16" s="49"/>
      <c r="U16" s="49"/>
      <c r="V16" s="49"/>
      <c r="W16" s="49"/>
      <c r="X16" s="49"/>
      <c r="Y16" s="48"/>
    </row>
    <row r="17" spans="1:25" x14ac:dyDescent="0.25">
      <c r="A17" s="1" t="s">
        <v>10</v>
      </c>
      <c r="B17" s="2" t="s">
        <v>55</v>
      </c>
      <c r="C17" s="2" t="s">
        <v>29</v>
      </c>
      <c r="D17" s="2" t="s">
        <v>29</v>
      </c>
      <c r="E17" s="2" t="s">
        <v>29</v>
      </c>
      <c r="F17" s="2" t="s">
        <v>29</v>
      </c>
      <c r="G17" s="4" t="str">
        <f t="shared" si="0"/>
        <v>1d10</v>
      </c>
      <c r="H17" s="2">
        <f>IF(Table2[[#This Row],[Skilled]] = "YES",VLOOKUP(Table2[[#This Row],[Statistic]],Table1[[Code]:[STAT]],13,FALSE), 0)</f>
        <v>0</v>
      </c>
      <c r="I17" s="2">
        <f>IF(Table2[[#This Row],[Professional]]="Yes",LVL,0)</f>
        <v>0</v>
      </c>
      <c r="J17" s="2">
        <v>0</v>
      </c>
      <c r="K17" s="2" t="str">
        <f>Table2[[#This Row],[DICE]] &amp; " " &amp; CHAR(43) &amp; " " &amp; SUM(H17:J17)</f>
        <v>1d10 + 0</v>
      </c>
      <c r="M17" s="48"/>
      <c r="O17" s="2"/>
      <c r="P17" s="49"/>
      <c r="Q17" s="49"/>
      <c r="R17" s="49"/>
      <c r="S17" s="49"/>
      <c r="T17" s="49"/>
      <c r="U17" s="49"/>
      <c r="V17" s="49"/>
      <c r="W17" s="49"/>
      <c r="X17" s="49"/>
      <c r="Y17" s="48"/>
    </row>
    <row r="18" spans="1:25" x14ac:dyDescent="0.25">
      <c r="A18" s="1" t="s">
        <v>20</v>
      </c>
      <c r="B18" s="2" t="s">
        <v>55</v>
      </c>
      <c r="C18" s="2" t="s">
        <v>29</v>
      </c>
      <c r="D18" s="2" t="s">
        <v>29</v>
      </c>
      <c r="E18" s="2" t="s">
        <v>29</v>
      </c>
      <c r="F18" s="2" t="s">
        <v>29</v>
      </c>
      <c r="G18" s="4" t="str">
        <f t="shared" si="0"/>
        <v>1d10</v>
      </c>
      <c r="H18" s="2">
        <f>IF(Table2[[#This Row],[Skilled]] = "YES",VLOOKUP(Table2[[#This Row],[Statistic]],Table1[[Code]:[STAT]],13,FALSE), 0)</f>
        <v>0</v>
      </c>
      <c r="I18" s="2">
        <f>IF(Table2[[#This Row],[Professional]]="Yes",LVL,0)</f>
        <v>0</v>
      </c>
      <c r="J18" s="2">
        <v>0</v>
      </c>
      <c r="K18" s="2" t="str">
        <f>Table2[[#This Row],[DICE]] &amp; " " &amp; CHAR(43) &amp; " " &amp; SUM(H18:J18)</f>
        <v>1d10 + 0</v>
      </c>
      <c r="M18" s="48"/>
      <c r="O18" s="2"/>
      <c r="P18" s="49"/>
      <c r="Q18" s="49"/>
      <c r="R18" s="49"/>
      <c r="S18" s="49"/>
      <c r="T18" s="49"/>
      <c r="U18" s="49"/>
      <c r="V18" s="49"/>
      <c r="W18" s="49"/>
      <c r="X18" s="49"/>
      <c r="Y18" s="48"/>
    </row>
    <row r="19" spans="1:25" x14ac:dyDescent="0.25">
      <c r="A19" s="1" t="s">
        <v>11</v>
      </c>
      <c r="B19" s="2" t="s">
        <v>39</v>
      </c>
      <c r="C19" s="2" t="s">
        <v>29</v>
      </c>
      <c r="D19" s="2" t="s">
        <v>29</v>
      </c>
      <c r="E19" s="2" t="s">
        <v>29</v>
      </c>
      <c r="F19" s="2" t="s">
        <v>29</v>
      </c>
      <c r="G19" s="4" t="str">
        <f t="shared" si="0"/>
        <v>1d10</v>
      </c>
      <c r="H19" s="2">
        <f>IF(Table2[[#This Row],[Skilled]] = "YES",VLOOKUP(Table2[[#This Row],[Statistic]],Table1[[Code]:[STAT]],13,FALSE), 0)</f>
        <v>0</v>
      </c>
      <c r="I19" s="2">
        <f>IF(Table2[[#This Row],[Professional]]="Yes",LVL,0)</f>
        <v>0</v>
      </c>
      <c r="J19" s="2">
        <v>0</v>
      </c>
      <c r="K19" s="2" t="str">
        <f>Table2[[#This Row],[DICE]] &amp; " " &amp; CHAR(43) &amp; " " &amp; SUM(H19:J19)</f>
        <v>1d10 + 0</v>
      </c>
      <c r="M19" s="48"/>
      <c r="O19" s="2"/>
      <c r="P19" s="49"/>
      <c r="Q19" s="49"/>
      <c r="R19" s="49"/>
      <c r="S19" s="49"/>
      <c r="T19" s="49"/>
      <c r="U19" s="49"/>
      <c r="V19" s="49"/>
      <c r="W19" s="49"/>
      <c r="X19" s="49"/>
      <c r="Y19" s="48"/>
    </row>
    <row r="20" spans="1:25" x14ac:dyDescent="0.25">
      <c r="A20" s="1" t="s">
        <v>12</v>
      </c>
      <c r="B20" s="2" t="s">
        <v>55</v>
      </c>
      <c r="C20" s="2" t="s">
        <v>29</v>
      </c>
      <c r="D20" s="2" t="s">
        <v>29</v>
      </c>
      <c r="E20" s="2" t="s">
        <v>29</v>
      </c>
      <c r="F20" s="2" t="s">
        <v>29</v>
      </c>
      <c r="G20" s="4" t="str">
        <f t="shared" si="0"/>
        <v>1d10</v>
      </c>
      <c r="H20" s="2">
        <f>IF(Table2[[#This Row],[Skilled]] = "YES",VLOOKUP(Table2[[#This Row],[Statistic]],Table1[[Code]:[STAT]],13,FALSE), 0)</f>
        <v>0</v>
      </c>
      <c r="I20" s="2">
        <f>IF(Table2[[#This Row],[Professional]]="Yes",LVL,0)</f>
        <v>0</v>
      </c>
      <c r="J20" s="2">
        <v>0</v>
      </c>
      <c r="K20" s="2" t="str">
        <f>Table2[[#This Row],[DICE]] &amp; " " &amp; CHAR(43) &amp; " " &amp; SUM(H20:J20)</f>
        <v>1d10 + 0</v>
      </c>
      <c r="M20" s="48"/>
      <c r="O20" s="2"/>
      <c r="P20" s="49"/>
      <c r="Q20" s="49"/>
      <c r="R20" s="49"/>
      <c r="S20" s="49"/>
      <c r="T20" s="49"/>
      <c r="U20" s="49"/>
      <c r="V20" s="49"/>
      <c r="W20" s="49"/>
      <c r="X20" s="49"/>
      <c r="Y20" s="48"/>
    </row>
    <row r="21" spans="1:25" x14ac:dyDescent="0.25">
      <c r="A21" s="1" t="s">
        <v>13</v>
      </c>
      <c r="B21" s="2" t="s">
        <v>37</v>
      </c>
      <c r="C21" s="2" t="s">
        <v>29</v>
      </c>
      <c r="D21" s="2" t="s">
        <v>29</v>
      </c>
      <c r="E21" s="2" t="s">
        <v>29</v>
      </c>
      <c r="F21" s="2" t="s">
        <v>29</v>
      </c>
      <c r="G21" s="4" t="str">
        <f t="shared" si="0"/>
        <v>1d10</v>
      </c>
      <c r="H21" s="2">
        <f>IF(Table2[[#This Row],[Skilled]] = "YES",VLOOKUP(Table2[[#This Row],[Statistic]],Table1[[Code]:[STAT]],13,FALSE), 0)</f>
        <v>0</v>
      </c>
      <c r="I21" s="2">
        <f>IF(Table2[[#This Row],[Professional]]="Yes",LVL,0)</f>
        <v>0</v>
      </c>
      <c r="J21" s="2">
        <v>0</v>
      </c>
      <c r="K21" s="2" t="str">
        <f>Table2[[#This Row],[DICE]] &amp; " " &amp; CHAR(43) &amp; " " &amp; SUM(H21:J21)</f>
        <v>1d10 + 0</v>
      </c>
      <c r="M21" s="48"/>
      <c r="O21" s="2"/>
      <c r="P21" s="49"/>
      <c r="Q21" s="49"/>
      <c r="R21" s="49"/>
      <c r="S21" s="49"/>
      <c r="T21" s="49"/>
      <c r="U21" s="49"/>
      <c r="V21" s="49"/>
      <c r="W21" s="49"/>
      <c r="X21" s="49"/>
      <c r="Y21" s="48"/>
    </row>
    <row r="22" spans="1:25" x14ac:dyDescent="0.25">
      <c r="A22" s="1" t="s">
        <v>14</v>
      </c>
      <c r="B22" s="2" t="s">
        <v>38</v>
      </c>
      <c r="C22" s="2" t="s">
        <v>29</v>
      </c>
      <c r="D22" s="2" t="s">
        <v>29</v>
      </c>
      <c r="E22" s="2" t="s">
        <v>29</v>
      </c>
      <c r="F22" s="2" t="s">
        <v>29</v>
      </c>
      <c r="G22" s="4" t="str">
        <f t="shared" si="0"/>
        <v>1d10</v>
      </c>
      <c r="H22" s="2">
        <f>IF(Table2[[#This Row],[Skilled]] = "YES",VLOOKUP(Table2[[#This Row],[Statistic]],Table1[[Code]:[STAT]],13,FALSE), 0)</f>
        <v>0</v>
      </c>
      <c r="I22" s="2">
        <f>IF(Table2[[#This Row],[Professional]]="Yes",LVL,0)</f>
        <v>0</v>
      </c>
      <c r="J22" s="2">
        <v>0</v>
      </c>
      <c r="K22" s="2" t="str">
        <f>Table2[[#This Row],[DICE]] &amp; " " &amp; CHAR(43) &amp; " " &amp; SUM(H22:J22)</f>
        <v>1d10 + 0</v>
      </c>
      <c r="M22" s="48"/>
      <c r="O22" s="2"/>
      <c r="P22" s="49"/>
      <c r="Q22" s="49"/>
      <c r="R22" s="49"/>
      <c r="S22" s="49"/>
      <c r="T22" s="49"/>
      <c r="U22" s="49"/>
      <c r="V22" s="49"/>
      <c r="W22" s="49"/>
      <c r="X22" s="49"/>
      <c r="Y22" s="48"/>
    </row>
    <row r="23" spans="1:25" x14ac:dyDescent="0.25">
      <c r="A23" s="1" t="s">
        <v>15</v>
      </c>
      <c r="B23" s="2" t="s">
        <v>38</v>
      </c>
      <c r="C23" s="2" t="s">
        <v>29</v>
      </c>
      <c r="D23" s="2" t="s">
        <v>29</v>
      </c>
      <c r="E23" s="2" t="s">
        <v>29</v>
      </c>
      <c r="F23" s="2" t="s">
        <v>29</v>
      </c>
      <c r="G23" s="4" t="str">
        <f t="shared" si="0"/>
        <v>1d10</v>
      </c>
      <c r="H23" s="2">
        <f>IF(Table2[[#This Row],[Skilled]] = "YES",VLOOKUP(Table2[[#This Row],[Statistic]],Table1[[Code]:[STAT]],13,FALSE), 0)</f>
        <v>0</v>
      </c>
      <c r="I23" s="2">
        <f>IF(Table2[[#This Row],[Professional]]="Yes",LVL,0)</f>
        <v>0</v>
      </c>
      <c r="J23" s="2">
        <v>0</v>
      </c>
      <c r="K23" s="2" t="str">
        <f>Table2[[#This Row],[DICE]] &amp; " " &amp; CHAR(43) &amp; " " &amp; SUM(H23:J23)</f>
        <v>1d10 + 0</v>
      </c>
      <c r="M23" s="48"/>
      <c r="O23" s="2"/>
      <c r="P23" s="49"/>
      <c r="Q23" s="49"/>
      <c r="R23" s="49"/>
      <c r="S23" s="49"/>
      <c r="T23" s="49"/>
      <c r="U23" s="49"/>
      <c r="V23" s="49"/>
      <c r="W23" s="49"/>
      <c r="X23" s="49"/>
      <c r="Y23" s="48"/>
    </row>
    <row r="24" spans="1:25" x14ac:dyDescent="0.25">
      <c r="A24" s="1" t="s">
        <v>16</v>
      </c>
      <c r="B24" s="2" t="s">
        <v>38</v>
      </c>
      <c r="C24" s="2" t="s">
        <v>29</v>
      </c>
      <c r="D24" s="2" t="s">
        <v>29</v>
      </c>
      <c r="E24" s="2" t="s">
        <v>29</v>
      </c>
      <c r="F24" s="2" t="s">
        <v>29</v>
      </c>
      <c r="G24" s="4" t="str">
        <f t="shared" si="0"/>
        <v>1d10</v>
      </c>
      <c r="H24" s="2">
        <f>IF(Table2[[#This Row],[Skilled]] = "YES",VLOOKUP(Table2[[#This Row],[Statistic]],Table1[[Code]:[STAT]],13,FALSE), 0)</f>
        <v>0</v>
      </c>
      <c r="I24" s="2">
        <f>IF(Table2[[#This Row],[Professional]]="Yes",LVL,0)</f>
        <v>0</v>
      </c>
      <c r="J24" s="2">
        <v>0</v>
      </c>
      <c r="K24" s="2" t="str">
        <f>Table2[[#This Row],[DICE]] &amp; " " &amp; CHAR(43) &amp; " " &amp; SUM(H24:J24)</f>
        <v>1d10 + 0</v>
      </c>
      <c r="M24" s="48"/>
      <c r="O24" s="2"/>
      <c r="P24" s="49"/>
      <c r="Q24" s="49"/>
      <c r="R24" s="49"/>
      <c r="S24" s="49"/>
      <c r="T24" s="49"/>
      <c r="U24" s="49"/>
      <c r="V24" s="49"/>
      <c r="W24" s="49"/>
      <c r="X24" s="49"/>
      <c r="Y24" s="48"/>
    </row>
    <row r="25" spans="1:25" x14ac:dyDescent="0.25">
      <c r="A25" s="1" t="s">
        <v>18</v>
      </c>
      <c r="B25" s="2" t="s">
        <v>37</v>
      </c>
      <c r="C25" s="2" t="s">
        <v>29</v>
      </c>
      <c r="D25" s="2" t="s">
        <v>29</v>
      </c>
      <c r="E25" s="2" t="s">
        <v>29</v>
      </c>
      <c r="F25" s="2" t="s">
        <v>29</v>
      </c>
      <c r="G25" s="4" t="str">
        <f t="shared" si="0"/>
        <v>1d10</v>
      </c>
      <c r="H25" s="2">
        <f>IF(Table2[[#This Row],[Skilled]] = "YES",VLOOKUP(Table2[[#This Row],[Statistic]],Table1[[Code]:[STAT]],13,FALSE), 0)</f>
        <v>0</v>
      </c>
      <c r="I25" s="2">
        <f>IF(Table2[[#This Row],[Professional]]="Yes",LVL,0)</f>
        <v>0</v>
      </c>
      <c r="J25" s="2">
        <v>0</v>
      </c>
      <c r="K25" s="2" t="str">
        <f>Table2[[#This Row],[DICE]] &amp; " " &amp; CHAR(43) &amp; " " &amp; SUM(H25:J25)</f>
        <v>1d10 + 0</v>
      </c>
      <c r="M25" s="48"/>
      <c r="O25" s="2"/>
      <c r="P25" s="49"/>
      <c r="Q25" s="49"/>
      <c r="R25" s="49"/>
      <c r="S25" s="49"/>
      <c r="T25" s="49"/>
      <c r="U25" s="49"/>
      <c r="V25" s="49"/>
      <c r="W25" s="49"/>
      <c r="X25" s="49"/>
      <c r="Y25" s="48"/>
    </row>
    <row r="26" spans="1:25" x14ac:dyDescent="0.25">
      <c r="A26" s="1" t="s">
        <v>19</v>
      </c>
      <c r="B26" s="2" t="s">
        <v>38</v>
      </c>
      <c r="C26" s="2" t="s">
        <v>29</v>
      </c>
      <c r="D26" s="2" t="s">
        <v>29</v>
      </c>
      <c r="E26" s="2" t="s">
        <v>29</v>
      </c>
      <c r="F26" s="2" t="s">
        <v>29</v>
      </c>
      <c r="G26" s="4" t="str">
        <f t="shared" ref="G26" si="1">IF(C26="Yes","1d20","1d10")</f>
        <v>1d10</v>
      </c>
      <c r="H26" s="2">
        <f>IF(Table2[[#This Row],[Skilled]] = "YES",VLOOKUP(Table2[[#This Row],[Statistic]],Table1[[Code]:[STAT]],13,FALSE), 0)</f>
        <v>0</v>
      </c>
      <c r="I26" s="2">
        <f>IF(Table2[[#This Row],[Professional]]="Yes",LVL,0)</f>
        <v>0</v>
      </c>
      <c r="J26" s="2">
        <v>0</v>
      </c>
      <c r="K26" s="2" t="str">
        <f>Table2[[#This Row],[DICE]] &amp; " " &amp; CHAR(43) &amp; " " &amp; SUM(H26:J26)</f>
        <v>1d10 + 0</v>
      </c>
      <c r="M26" s="48"/>
      <c r="O26" s="2"/>
      <c r="P26" s="49"/>
      <c r="Q26" s="49"/>
      <c r="R26" s="49"/>
      <c r="S26" s="49"/>
      <c r="T26" s="49"/>
      <c r="U26" s="49"/>
      <c r="V26" s="49"/>
      <c r="W26" s="49"/>
      <c r="X26" s="49"/>
      <c r="Y26" s="48"/>
    </row>
    <row r="27" spans="1:25" x14ac:dyDescent="0.25">
      <c r="A27" s="1" t="s">
        <v>170</v>
      </c>
      <c r="B27" s="2" t="s">
        <v>38</v>
      </c>
      <c r="C27" s="2" t="s">
        <v>29</v>
      </c>
      <c r="D27" s="2" t="s">
        <v>29</v>
      </c>
      <c r="E27" s="2" t="s">
        <v>29</v>
      </c>
      <c r="F27" s="2" t="s">
        <v>29</v>
      </c>
      <c r="G27" s="4" t="str">
        <f t="shared" ref="G27:G34" si="2">IF(C27="Yes","1d20","1d10")</f>
        <v>1d10</v>
      </c>
      <c r="H27" s="7">
        <f>IF(Table2[[#This Row],[Skilled]] = "YES",VLOOKUP(Table2[[#This Row],[Statistic]],Table1[[Code]:[STAT]],13,FALSE), 0)</f>
        <v>0</v>
      </c>
      <c r="I27" s="7">
        <f>IF(Table2[[#This Row],[Professional]]="Yes",LVL,0)</f>
        <v>0</v>
      </c>
      <c r="J27" s="2">
        <v>0</v>
      </c>
      <c r="K27" s="2" t="str">
        <f>Table2[[#This Row],[DICE]] &amp; " " &amp; CHAR(43) &amp; " " &amp; SUM(H27:J27)</f>
        <v>1d10 + 0</v>
      </c>
      <c r="M27" s="48"/>
      <c r="O27" s="2"/>
      <c r="P27" s="49"/>
      <c r="Q27" s="49"/>
      <c r="R27" s="49"/>
      <c r="S27" s="49"/>
      <c r="T27" s="49"/>
      <c r="U27" s="49"/>
      <c r="V27" s="49"/>
      <c r="W27" s="49"/>
      <c r="X27" s="49"/>
      <c r="Y27" s="48"/>
    </row>
    <row r="28" spans="1:25" x14ac:dyDescent="0.25">
      <c r="A28" s="1" t="s">
        <v>16</v>
      </c>
      <c r="B28" s="2" t="s">
        <v>38</v>
      </c>
      <c r="C28" s="2" t="s">
        <v>29</v>
      </c>
      <c r="D28" s="2" t="s">
        <v>29</v>
      </c>
      <c r="E28" s="2" t="s">
        <v>29</v>
      </c>
      <c r="F28" s="2" t="s">
        <v>29</v>
      </c>
      <c r="G28" s="4" t="str">
        <f t="shared" si="2"/>
        <v>1d10</v>
      </c>
      <c r="H28" s="7">
        <f>IF(Table2[[#This Row],[Skilled]] = "YES",VLOOKUP(Table2[[#This Row],[Statistic]],Table1[[Code]:[STAT]],13,FALSE), 0)</f>
        <v>0</v>
      </c>
      <c r="I28" s="7">
        <f>IF(Table2[[#This Row],[Professional]]="Yes",LVL,0)</f>
        <v>0</v>
      </c>
      <c r="J28" s="2">
        <v>0</v>
      </c>
      <c r="K28" s="2" t="str">
        <f>Table2[[#This Row],[DICE]] &amp; " " &amp; CHAR(43) &amp; " " &amp; SUM(H28:J28)</f>
        <v>1d10 + 0</v>
      </c>
      <c r="M28" s="48"/>
      <c r="O28" s="2"/>
      <c r="P28" s="49"/>
      <c r="Q28" s="49"/>
      <c r="R28" s="49"/>
      <c r="S28" s="49"/>
      <c r="T28" s="49"/>
      <c r="U28" s="49"/>
      <c r="V28" s="49"/>
      <c r="W28" s="49"/>
      <c r="X28" s="49"/>
      <c r="Y28" s="48"/>
    </row>
    <row r="29" spans="1:25" x14ac:dyDescent="0.25">
      <c r="G29" s="4" t="str">
        <f t="shared" si="2"/>
        <v>1d10</v>
      </c>
      <c r="H29" s="7">
        <f>IF(Table2[[#This Row],[Skilled]] = "YES",VLOOKUP(Table2[[#This Row],[Statistic]],Table1[[Code]:[STAT]],13,FALSE), 0)</f>
        <v>0</v>
      </c>
      <c r="I29" s="7">
        <f>IF(Table2[[#This Row],[Professional]]="Yes",LVL,0)</f>
        <v>0</v>
      </c>
      <c r="J29" s="2">
        <v>0</v>
      </c>
      <c r="K29" s="2" t="str">
        <f>Table2[[#This Row],[DICE]] &amp; " " &amp; CHAR(43) &amp; " " &amp; SUM(H29:J29)</f>
        <v>1d10 + 0</v>
      </c>
      <c r="M29" s="48"/>
      <c r="O29" s="2"/>
      <c r="P29" s="49"/>
      <c r="Q29" s="49"/>
      <c r="R29" s="49"/>
      <c r="S29" s="49"/>
      <c r="T29" s="49"/>
      <c r="U29" s="49"/>
      <c r="V29" s="49"/>
      <c r="W29" s="49"/>
      <c r="X29" s="49"/>
      <c r="Y29" s="48"/>
    </row>
    <row r="30" spans="1:25" x14ac:dyDescent="0.25">
      <c r="G30" s="4" t="str">
        <f t="shared" si="2"/>
        <v>1d10</v>
      </c>
      <c r="H30" s="7">
        <f>IF(Table2[[#This Row],[Skilled]] = "YES",VLOOKUP(Table2[[#This Row],[Statistic]],Table1[[Code]:[STAT]],13,FALSE), 0)</f>
        <v>0</v>
      </c>
      <c r="I30" s="7">
        <f>IF(Table2[[#This Row],[Professional]]="Yes",LVL,0)</f>
        <v>0</v>
      </c>
      <c r="J30" s="2">
        <v>0</v>
      </c>
      <c r="K30" s="2" t="str">
        <f>Table2[[#This Row],[DICE]] &amp; " " &amp; CHAR(43) &amp; " " &amp; SUM(H30:J30)</f>
        <v>1d10 + 0</v>
      </c>
      <c r="M30" s="48"/>
      <c r="O30" s="2"/>
      <c r="P30" s="49"/>
      <c r="Q30" s="49"/>
      <c r="R30" s="49"/>
      <c r="S30" s="49"/>
      <c r="T30" s="49"/>
      <c r="U30" s="49"/>
      <c r="V30" s="49"/>
      <c r="W30" s="49"/>
      <c r="X30" s="49"/>
      <c r="Y30" s="48"/>
    </row>
    <row r="31" spans="1:25" x14ac:dyDescent="0.25">
      <c r="G31" s="4" t="str">
        <f t="shared" si="2"/>
        <v>1d10</v>
      </c>
      <c r="H31" s="7">
        <f>IF(Table2[[#This Row],[Skilled]] = "YES",VLOOKUP(Table2[[#This Row],[Statistic]],Table1[[Code]:[STAT]],13,FALSE), 0)</f>
        <v>0</v>
      </c>
      <c r="I31" s="7">
        <f>IF(Table2[[#This Row],[Professional]]="Yes",LVL,0)</f>
        <v>0</v>
      </c>
      <c r="J31" s="2">
        <v>0</v>
      </c>
      <c r="K31" s="2" t="str">
        <f>Table2[[#This Row],[DICE]] &amp; " " &amp; CHAR(43) &amp; " " &amp; SUM(H31:J31)</f>
        <v>1d10 + 0</v>
      </c>
      <c r="M31" s="48"/>
      <c r="O31" s="2"/>
      <c r="P31" s="49"/>
      <c r="Q31" s="49"/>
      <c r="R31" s="49"/>
      <c r="S31" s="49"/>
      <c r="T31" s="49"/>
      <c r="U31" s="49"/>
      <c r="V31" s="49"/>
      <c r="W31" s="49"/>
      <c r="X31" s="49"/>
      <c r="Y31" s="48"/>
    </row>
    <row r="32" spans="1:25" x14ac:dyDescent="0.25">
      <c r="G32" s="4" t="str">
        <f t="shared" si="2"/>
        <v>1d10</v>
      </c>
      <c r="H32" s="7">
        <f>IF(Table2[[#This Row],[Skilled]] = "YES",VLOOKUP(Table2[[#This Row],[Statistic]],Table1[[Code]:[STAT]],13,FALSE), 0)</f>
        <v>0</v>
      </c>
      <c r="I32" s="7">
        <f>IF(Table2[[#This Row],[Professional]]="Yes",LVL,0)</f>
        <v>0</v>
      </c>
      <c r="J32" s="2">
        <v>0</v>
      </c>
      <c r="K32" s="2" t="str">
        <f>Table2[[#This Row],[DICE]] &amp; " " &amp; CHAR(43) &amp; " " &amp; SUM(H32:J32)</f>
        <v>1d10 + 0</v>
      </c>
      <c r="M32" s="48"/>
      <c r="O32" s="2"/>
      <c r="P32" s="49"/>
      <c r="Q32" s="49"/>
      <c r="R32" s="49"/>
      <c r="S32" s="49"/>
      <c r="T32" s="49"/>
      <c r="U32" s="49"/>
      <c r="V32" s="49"/>
      <c r="W32" s="49"/>
      <c r="X32" s="49"/>
      <c r="Y32" s="48"/>
    </row>
    <row r="33" spans="1:25" x14ac:dyDescent="0.25">
      <c r="G33" s="4" t="str">
        <f t="shared" si="2"/>
        <v>1d10</v>
      </c>
      <c r="H33" s="7">
        <f>IF(Table2[[#This Row],[Skilled]] = "YES",VLOOKUP(Table2[[#This Row],[Statistic]],Table1[[Code]:[STAT]],13,FALSE), 0)</f>
        <v>0</v>
      </c>
      <c r="I33" s="7">
        <f>IF(Table2[[#This Row],[Professional]]="Yes",LVL,0)</f>
        <v>0</v>
      </c>
      <c r="J33" s="2">
        <v>0</v>
      </c>
      <c r="K33" s="2" t="str">
        <f>Table2[[#This Row],[DICE]] &amp; " " &amp; CHAR(43) &amp; " " &amp; SUM(H33:J33)</f>
        <v>1d10 + 0</v>
      </c>
      <c r="M33" s="48"/>
      <c r="O33" s="2"/>
      <c r="P33" s="49"/>
      <c r="Q33" s="49"/>
      <c r="R33" s="49"/>
      <c r="S33" s="49"/>
      <c r="T33" s="49"/>
      <c r="U33" s="49"/>
      <c r="V33" s="49"/>
      <c r="W33" s="49"/>
      <c r="X33" s="49"/>
      <c r="Y33" s="48"/>
    </row>
    <row r="34" spans="1:25" x14ac:dyDescent="0.25">
      <c r="G34" s="4" t="str">
        <f t="shared" si="2"/>
        <v>1d10</v>
      </c>
      <c r="H34" s="7">
        <f>IF(Table2[[#This Row],[Skilled]] = "YES",VLOOKUP(Table2[[#This Row],[Statistic]],Table1[[Code]:[STAT]],13,FALSE), 0)</f>
        <v>0</v>
      </c>
      <c r="I34" s="7">
        <f>IF(Table2[[#This Row],[Professional]]="Yes",LVL,0)</f>
        <v>0</v>
      </c>
      <c r="J34" s="2">
        <v>0</v>
      </c>
      <c r="K34" s="2" t="str">
        <f>Table2[[#This Row],[DICE]] &amp; " " &amp; CHAR(43) &amp; " " &amp; SUM(H34:J34)</f>
        <v>1d10 + 0</v>
      </c>
      <c r="M34" s="48"/>
      <c r="O34" s="2"/>
      <c r="P34" s="49"/>
      <c r="Q34" s="49"/>
      <c r="R34" s="49"/>
      <c r="S34" s="49"/>
      <c r="T34" s="49"/>
      <c r="U34" s="49"/>
      <c r="V34" s="49"/>
      <c r="W34" s="49"/>
      <c r="X34" s="49"/>
      <c r="Y34" s="48"/>
    </row>
    <row r="35" spans="1:25" x14ac:dyDescent="0.25">
      <c r="A35" s="1" t="s">
        <v>49</v>
      </c>
      <c r="B35" s="2">
        <f>SUM(Table2[[#Totals],[Bought]:[Expert]])</f>
        <v>14</v>
      </c>
      <c r="C35" s="2">
        <f>COUNTIF(Table2[Bought],"Yes") * 2</f>
        <v>2</v>
      </c>
      <c r="D35" s="2">
        <f>COUNTIF(Table2[Skilled],"Yes") * 3</f>
        <v>3</v>
      </c>
      <c r="E35" s="2">
        <f>COUNTIF(Table2[Professional],"Yes") * 4</f>
        <v>4</v>
      </c>
      <c r="F35" s="2">
        <f>COUNTIF(Table2[Skilled],"Yes") * 5</f>
        <v>5</v>
      </c>
      <c r="G35" s="4"/>
      <c r="M35" s="48"/>
      <c r="O35" s="2"/>
      <c r="P35" s="49"/>
      <c r="Q35" s="49"/>
      <c r="R35" s="49"/>
      <c r="S35" s="49"/>
      <c r="T35" s="49"/>
      <c r="U35" s="49"/>
      <c r="V35" s="49"/>
      <c r="W35" s="49"/>
      <c r="X35" s="49"/>
      <c r="Y35" s="48"/>
    </row>
    <row r="36" spans="1:25" x14ac:dyDescent="0.25">
      <c r="M36" s="48"/>
      <c r="O36" s="2"/>
      <c r="P36" s="49"/>
      <c r="Q36" s="49"/>
      <c r="R36" s="49"/>
      <c r="S36" s="49"/>
      <c r="T36" s="49"/>
      <c r="U36" s="50"/>
      <c r="V36" s="50"/>
      <c r="W36" s="49"/>
      <c r="X36" s="49"/>
      <c r="Y36" s="48"/>
    </row>
    <row r="37" spans="1:25" x14ac:dyDescent="0.25">
      <c r="M37" s="48"/>
      <c r="O37" s="2"/>
      <c r="P37" s="49"/>
      <c r="Q37" s="49"/>
      <c r="R37" s="49"/>
      <c r="S37" s="49"/>
      <c r="T37" s="49"/>
      <c r="U37" s="50"/>
      <c r="V37" s="50"/>
      <c r="W37" s="49"/>
      <c r="X37" s="49"/>
      <c r="Y37" s="48"/>
    </row>
    <row r="38" spans="1:25" x14ac:dyDescent="0.25">
      <c r="M38" s="48"/>
      <c r="O38" s="2"/>
      <c r="P38" s="49"/>
      <c r="Q38" s="49"/>
      <c r="R38" s="49"/>
      <c r="S38" s="49"/>
      <c r="T38" s="49"/>
      <c r="U38" s="50"/>
      <c r="V38" s="50"/>
      <c r="W38" s="49"/>
      <c r="X38" s="49"/>
      <c r="Y38" s="48"/>
    </row>
    <row r="39" spans="1:25" x14ac:dyDescent="0.25">
      <c r="M39" s="48"/>
      <c r="O39" s="2"/>
      <c r="P39" s="49"/>
      <c r="Q39" s="49"/>
      <c r="R39" s="49"/>
      <c r="S39" s="49"/>
      <c r="T39" s="49"/>
      <c r="U39" s="50"/>
      <c r="V39" s="50"/>
      <c r="W39" s="49"/>
      <c r="X39" s="49"/>
      <c r="Y39" s="48"/>
    </row>
    <row r="40" spans="1:25" x14ac:dyDescent="0.25">
      <c r="M40" s="48"/>
      <c r="O40" s="2"/>
      <c r="P40" s="49"/>
      <c r="Q40" s="49"/>
      <c r="R40" s="49"/>
      <c r="S40" s="49"/>
      <c r="T40" s="49"/>
      <c r="U40" s="50"/>
      <c r="V40" s="50"/>
      <c r="W40" s="49"/>
      <c r="X40" s="49"/>
      <c r="Y40" s="48"/>
    </row>
    <row r="41" spans="1:25" x14ac:dyDescent="0.25">
      <c r="M41" s="48"/>
      <c r="O41" s="2"/>
      <c r="P41" s="49"/>
      <c r="Q41" s="49"/>
      <c r="R41" s="49"/>
      <c r="S41" s="49"/>
      <c r="T41" s="49"/>
      <c r="U41" s="50"/>
      <c r="V41" s="50"/>
      <c r="W41" s="49"/>
      <c r="X41" s="49"/>
      <c r="Y41" s="48"/>
    </row>
    <row r="42" spans="1:25" x14ac:dyDescent="0.25">
      <c r="M42" s="48"/>
      <c r="O42" s="2"/>
      <c r="P42" s="49"/>
      <c r="Q42" s="49"/>
      <c r="R42" s="49"/>
      <c r="S42" s="49"/>
      <c r="T42" s="49"/>
      <c r="U42" s="50"/>
      <c r="V42" s="50"/>
      <c r="W42" s="49"/>
      <c r="X42" s="49"/>
      <c r="Y42" s="48"/>
    </row>
    <row r="43" spans="1:25" x14ac:dyDescent="0.25">
      <c r="M43" s="48"/>
      <c r="N43" s="48"/>
      <c r="O43" s="49"/>
      <c r="P43" s="49"/>
      <c r="Q43" s="49"/>
      <c r="R43" s="49"/>
      <c r="S43" s="49"/>
      <c r="T43" s="49"/>
      <c r="U43" s="50"/>
      <c r="V43" s="50"/>
      <c r="W43" s="49"/>
      <c r="X43" s="49"/>
      <c r="Y43" s="48"/>
    </row>
    <row r="44" spans="1:25" x14ac:dyDescent="0.25">
      <c r="M44" s="48"/>
      <c r="N44" s="48"/>
      <c r="O44" s="48"/>
      <c r="P44" s="48"/>
      <c r="Q44" s="48"/>
      <c r="R44" s="48"/>
      <c r="S44" s="48"/>
      <c r="T44" s="48"/>
      <c r="U44" s="48"/>
      <c r="V44" s="48"/>
      <c r="W44" s="48"/>
      <c r="X44" s="48"/>
      <c r="Y44" s="48"/>
    </row>
  </sheetData>
  <conditionalFormatting sqref="C2:F25 C31:F34">
    <cfRule type="containsText" dxfId="248" priority="5" operator="containsText" text="No">
      <formula>NOT(ISERROR(SEARCH("No",C2)))</formula>
    </cfRule>
  </conditionalFormatting>
  <conditionalFormatting sqref="H2:K25 H31:K34">
    <cfRule type="cellIs" dxfId="247" priority="3" operator="equal">
      <formula>0</formula>
    </cfRule>
  </conditionalFormatting>
  <conditionalFormatting sqref="C26:F30">
    <cfRule type="containsText" dxfId="246" priority="2" operator="containsText" text="No">
      <formula>NOT(ISERROR(SEARCH("No",C26)))</formula>
    </cfRule>
  </conditionalFormatting>
  <conditionalFormatting sqref="H26:K30">
    <cfRule type="cellIs" dxfId="245"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B17" sqref="B17"/>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22</v>
      </c>
      <c r="B1" s="2" t="s">
        <v>34</v>
      </c>
      <c r="C1" s="2" t="s">
        <v>23</v>
      </c>
      <c r="D1" s="2" t="s">
        <v>24</v>
      </c>
      <c r="E1" s="2" t="s">
        <v>26</v>
      </c>
      <c r="F1" s="2" t="s">
        <v>25</v>
      </c>
      <c r="G1" s="4" t="s">
        <v>42</v>
      </c>
      <c r="H1" s="2" t="s">
        <v>40</v>
      </c>
      <c r="I1" s="2" t="s">
        <v>41</v>
      </c>
      <c r="J1" s="2" t="s">
        <v>43</v>
      </c>
      <c r="K1" s="2" t="s">
        <v>44</v>
      </c>
    </row>
    <row r="2" spans="1:17" x14ac:dyDescent="0.25">
      <c r="A2" s="1" t="s">
        <v>176</v>
      </c>
      <c r="B2" s="2" t="s">
        <v>37</v>
      </c>
      <c r="C2" s="2" t="s">
        <v>29</v>
      </c>
      <c r="D2" s="2" t="s">
        <v>29</v>
      </c>
      <c r="E2" s="2" t="s">
        <v>29</v>
      </c>
      <c r="F2" s="2" t="s">
        <v>29</v>
      </c>
      <c r="G2" s="4" t="str">
        <f t="shared" ref="G2:G9" si="0">IF(C2="Yes","1d20","1d10")</f>
        <v>1d10</v>
      </c>
      <c r="H2" s="2">
        <f>IF(Table217[[#This Row],[Skilled]] = "YES",VLOOKUP(Table217[[#This Row],[Statistic]],Table1[[Code]:[STAT]],13,FALSE), 0)</f>
        <v>0</v>
      </c>
      <c r="I2" s="2">
        <f>IF(Table217[[#This Row],[Professional]]="Yes",LVL,0)</f>
        <v>0</v>
      </c>
      <c r="J2" s="2">
        <f>IF(Table217[[#This Row],[Expert]]="Yes", EXPERTISE, 0)</f>
        <v>0</v>
      </c>
      <c r="K2" s="72" t="str">
        <f>Table217[[#This Row],[DICE]] &amp; " " &amp; CHAR(43) &amp; " " &amp; SUM(H2:J2)</f>
        <v>1d10 + 0</v>
      </c>
    </row>
    <row r="3" spans="1:17" x14ac:dyDescent="0.25">
      <c r="A3" s="1" t="s">
        <v>177</v>
      </c>
      <c r="B3" s="2" t="s">
        <v>36</v>
      </c>
      <c r="C3" s="2" t="s">
        <v>29</v>
      </c>
      <c r="D3" s="2" t="s">
        <v>29</v>
      </c>
      <c r="E3" s="2" t="s">
        <v>29</v>
      </c>
      <c r="F3" s="2" t="s">
        <v>29</v>
      </c>
      <c r="G3" s="4" t="str">
        <f t="shared" si="0"/>
        <v>1d10</v>
      </c>
      <c r="H3" s="2">
        <f>IF(Table217[[#This Row],[Skilled]] = "YES",VLOOKUP(Table217[[#This Row],[Statistic]],Table1[[Code]:[STAT]],13,FALSE), 0)</f>
        <v>0</v>
      </c>
      <c r="I3" s="2">
        <f>IF(Table217[[#This Row],[Professional]]="Yes",LVL,0)</f>
        <v>0</v>
      </c>
      <c r="J3" s="2">
        <v>0</v>
      </c>
      <c r="K3" s="2" t="str">
        <f>Table217[[#This Row],[DICE]] &amp; " " &amp; CHAR(43) &amp; " " &amp; SUM(H3:J3)</f>
        <v>1d10 + 0</v>
      </c>
    </row>
    <row r="4" spans="1:17" x14ac:dyDescent="0.25">
      <c r="A4" s="1" t="s">
        <v>172</v>
      </c>
      <c r="B4" s="2" t="s">
        <v>55</v>
      </c>
      <c r="C4" s="2" t="s">
        <v>29</v>
      </c>
      <c r="D4" s="2" t="s">
        <v>29</v>
      </c>
      <c r="E4" s="2" t="s">
        <v>29</v>
      </c>
      <c r="F4" s="2" t="s">
        <v>29</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f>
        <v>1d10 + 0</v>
      </c>
    </row>
    <row r="5" spans="1:17" x14ac:dyDescent="0.25">
      <c r="A5" s="1" t="s">
        <v>171</v>
      </c>
      <c r="B5" s="2" t="s">
        <v>36</v>
      </c>
      <c r="C5" s="2" t="s">
        <v>29</v>
      </c>
      <c r="D5" s="2" t="s">
        <v>29</v>
      </c>
      <c r="E5" s="2" t="s">
        <v>29</v>
      </c>
      <c r="F5" s="2" t="s">
        <v>29</v>
      </c>
      <c r="G5" s="4" t="str">
        <f t="shared" si="0"/>
        <v>1d10</v>
      </c>
      <c r="H5" s="2">
        <f>IF(Table217[[#This Row],[Skilled]] = "YES",VLOOKUP(Table217[[#This Row],[Statistic]],Table1[[Code]:[STAT]],13,FALSE), 0)</f>
        <v>0</v>
      </c>
      <c r="I5" s="2">
        <f>IF(Table217[[#This Row],[Professional]]="Yes",LVL,0)</f>
        <v>0</v>
      </c>
      <c r="J5" s="2">
        <v>0</v>
      </c>
      <c r="K5" s="2" t="str">
        <f>Table217[[#This Row],[DICE]] &amp; " " &amp; CHAR(43) &amp; " " &amp; SUM(H5:J5)</f>
        <v>1d10 + 0</v>
      </c>
    </row>
    <row r="6" spans="1:17" x14ac:dyDescent="0.25">
      <c r="A6" s="1" t="s">
        <v>173</v>
      </c>
      <c r="B6" s="2" t="s">
        <v>39</v>
      </c>
      <c r="C6" s="2" t="s">
        <v>29</v>
      </c>
      <c r="D6" s="2" t="s">
        <v>29</v>
      </c>
      <c r="E6" s="2" t="s">
        <v>29</v>
      </c>
      <c r="F6" s="2" t="s">
        <v>29</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f>
        <v>1d10 + 0</v>
      </c>
    </row>
    <row r="7" spans="1:17" x14ac:dyDescent="0.25">
      <c r="A7" s="1" t="s">
        <v>174</v>
      </c>
      <c r="B7" s="2" t="s">
        <v>36</v>
      </c>
      <c r="C7" s="2" t="s">
        <v>29</v>
      </c>
      <c r="D7" s="2" t="s">
        <v>29</v>
      </c>
      <c r="E7" s="2" t="s">
        <v>29</v>
      </c>
      <c r="F7" s="2" t="s">
        <v>29</v>
      </c>
      <c r="G7" s="4" t="str">
        <f>IF(C7="Yes","1d20","1d10")</f>
        <v>1d10</v>
      </c>
      <c r="H7" s="2">
        <f>IF(Table217[[#This Row],[Skilled]] = "YES",VLOOKUP(Table217[[#This Row],[Statistic]],Table1[[Code]:[STAT]],13,FALSE), 0)</f>
        <v>0</v>
      </c>
      <c r="I7" s="2">
        <f>IF(Table217[[#This Row],[Professional]]="Yes",LVL,0)</f>
        <v>0</v>
      </c>
      <c r="J7" s="2">
        <v>0</v>
      </c>
      <c r="K7" s="2" t="str">
        <f>Table217[[#This Row],[DICE]] &amp; " " &amp; CHAR(43) &amp; " " &amp; SUM(H7:J7)</f>
        <v>1d10 + 0</v>
      </c>
    </row>
    <row r="8" spans="1:17" x14ac:dyDescent="0.25">
      <c r="A8" s="1" t="s">
        <v>175</v>
      </c>
      <c r="B8" s="2" t="s">
        <v>36</v>
      </c>
      <c r="C8" s="2" t="s">
        <v>29</v>
      </c>
      <c r="D8" s="2" t="s">
        <v>29</v>
      </c>
      <c r="E8" s="2" t="s">
        <v>29</v>
      </c>
      <c r="F8" s="2" t="s">
        <v>29</v>
      </c>
      <c r="G8" s="4" t="str">
        <f t="shared" si="0"/>
        <v>1d10</v>
      </c>
      <c r="H8" s="2">
        <f>IF(Table217[[#This Row],[Skilled]] = "YES",VLOOKUP(Table217[[#This Row],[Statistic]],Table1[[Code]:[STAT]],13,FALSE), 0)</f>
        <v>0</v>
      </c>
      <c r="I8" s="2">
        <f>IF(Table217[[#This Row],[Professional]]="Yes",LVL,0)</f>
        <v>0</v>
      </c>
      <c r="J8" s="2">
        <v>0</v>
      </c>
      <c r="K8" s="2" t="str">
        <f>Table217[[#This Row],[DICE]] &amp; " " &amp; CHAR(43) &amp; " " &amp; SUM(H8:J8)</f>
        <v>1d10 + 0</v>
      </c>
      <c r="P8" s="2"/>
      <c r="Q8" s="2"/>
    </row>
    <row r="9" spans="1:17" x14ac:dyDescent="0.25">
      <c r="A9" s="1" t="s">
        <v>178</v>
      </c>
      <c r="B9" s="2" t="s">
        <v>39</v>
      </c>
      <c r="C9" s="2" t="s">
        <v>29</v>
      </c>
      <c r="D9" s="2" t="s">
        <v>29</v>
      </c>
      <c r="E9" s="2" t="s">
        <v>29</v>
      </c>
      <c r="F9" s="2" t="s">
        <v>29</v>
      </c>
      <c r="G9" s="4" t="str">
        <f t="shared" si="0"/>
        <v>1d10</v>
      </c>
      <c r="H9" s="2">
        <f>IF(Table217[[#This Row],[Skilled]] = "YES",VLOOKUP(Table217[[#This Row],[Statistic]],Table1[[Code]:[STAT]],13,FALSE), 0)</f>
        <v>0</v>
      </c>
      <c r="I9" s="2">
        <f>IF(Table217[[#This Row],[Professional]]="Yes",LVL,0)</f>
        <v>0</v>
      </c>
      <c r="J9" s="2">
        <v>0</v>
      </c>
      <c r="K9" s="2" t="str">
        <f>Table217[[#This Row],[DICE]] &amp; " " &amp; CHAR(43) &amp; " " &amp; SUM(H9:J9)</f>
        <v>1d10 + 0</v>
      </c>
      <c r="P9" s="2"/>
      <c r="Q9" s="2"/>
    </row>
    <row r="10" spans="1:17" x14ac:dyDescent="0.25">
      <c r="A10" s="1" t="s">
        <v>179</v>
      </c>
      <c r="B10" s="2" t="s">
        <v>38</v>
      </c>
      <c r="C10" s="2" t="s">
        <v>29</v>
      </c>
      <c r="D10" s="2" t="s">
        <v>29</v>
      </c>
      <c r="E10" s="2" t="s">
        <v>29</v>
      </c>
      <c r="F10" s="2" t="s">
        <v>29</v>
      </c>
      <c r="G10" s="4" t="str">
        <f t="shared" ref="G10:G16" si="1">IF(C10="Yes","1d20","1d10")</f>
        <v>1d10</v>
      </c>
      <c r="H10" s="2">
        <f>IF(Table217[[#This Row],[Skilled]] = "YES",VLOOKUP(Table217[[#This Row],[Statistic]],Table1[[Code]:[STAT]],13,FALSE), 0)</f>
        <v>0</v>
      </c>
      <c r="I10" s="2">
        <f>IF(Table217[[#This Row],[Professional]]="Yes",LVL,0)</f>
        <v>0</v>
      </c>
      <c r="J10" s="2">
        <v>0</v>
      </c>
      <c r="K10" s="2" t="str">
        <f>Table217[[#This Row],[DICE]] &amp; " " &amp; CHAR(43) &amp; " " &amp; SUM(H10:J10)</f>
        <v>1d10 + 0</v>
      </c>
      <c r="P10" s="2"/>
      <c r="Q10" s="2"/>
    </row>
    <row r="11" spans="1:17" x14ac:dyDescent="0.25">
      <c r="G11" s="4" t="str">
        <f t="shared" si="1"/>
        <v>1d10</v>
      </c>
      <c r="H11" s="7">
        <f>IF(Table217[[#This Row],[Skilled]] = "YES",VLOOKUP(Table217[[#This Row],[Statistic]],Table1[[Code]:[STAT]],13,FALSE), 0)</f>
        <v>0</v>
      </c>
      <c r="I11" s="7">
        <f>IF(Table217[[#This Row],[Professional]]="Yes",LVL,0)</f>
        <v>0</v>
      </c>
      <c r="J11" s="2">
        <v>0</v>
      </c>
      <c r="K11" s="2" t="str">
        <f>Table217[[#This Row],[DICE]] &amp; " " &amp; CHAR(43) &amp; " " &amp; SUM(H11:J11)</f>
        <v>1d10 + 0</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x14ac:dyDescent="0.25">
      <c r="A17" s="1" t="s">
        <v>49</v>
      </c>
      <c r="B17" s="2">
        <f>SUM(Table217[[#Totals],[Bought]:[Expert]])</f>
        <v>0</v>
      </c>
      <c r="C17" s="2">
        <f>COUNTIF(Table217[Bought],"Yes") * 2</f>
        <v>0</v>
      </c>
      <c r="D17" s="2">
        <f>COUNTIF(Table217[Skilled],"Yes") * 3</f>
        <v>0</v>
      </c>
      <c r="E17" s="2">
        <f>COUNTIF(Table217[Professional],"Yes") * 4</f>
        <v>0</v>
      </c>
      <c r="F17" s="2">
        <f>COUNTIF(Table217[Skilled],"Yes") * 5</f>
        <v>0</v>
      </c>
      <c r="G17" s="4"/>
    </row>
  </sheetData>
  <conditionalFormatting sqref="C2:F16">
    <cfRule type="containsText" dxfId="220" priority="4" operator="containsText" text="No">
      <formula>NOT(ISERROR(SEARCH("No",C2)))</formula>
    </cfRule>
  </conditionalFormatting>
  <conditionalFormatting sqref="H2:K16">
    <cfRule type="cellIs" dxfId="219"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G27" sqref="G27"/>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22</v>
      </c>
      <c r="B1" s="1" t="s">
        <v>102</v>
      </c>
      <c r="C1" s="1" t="s">
        <v>106</v>
      </c>
      <c r="D1" s="1" t="s">
        <v>107</v>
      </c>
      <c r="E1" s="1" t="s">
        <v>124</v>
      </c>
      <c r="F1" s="18" t="s">
        <v>202</v>
      </c>
      <c r="G1" s="1" t="s">
        <v>103</v>
      </c>
      <c r="H1" s="1" t="s">
        <v>104</v>
      </c>
      <c r="I1" s="1" t="s">
        <v>105</v>
      </c>
      <c r="J1" s="1" t="s">
        <v>117</v>
      </c>
      <c r="K1" s="1" t="s">
        <v>108</v>
      </c>
      <c r="L1" s="2" t="s">
        <v>52</v>
      </c>
      <c r="W1" s="1" t="s">
        <v>22</v>
      </c>
      <c r="X1" s="1" t="s">
        <v>108</v>
      </c>
    </row>
    <row r="2" spans="1:24" x14ac:dyDescent="0.25">
      <c r="A2" s="1" t="s">
        <v>109</v>
      </c>
      <c r="B2" s="2">
        <v>2</v>
      </c>
      <c r="C2" s="2">
        <f>WEAPON_DMG</f>
        <v>1</v>
      </c>
      <c r="D2" s="2">
        <f>EQ_DMG</f>
        <v>0</v>
      </c>
      <c r="E2" s="2">
        <v>2</v>
      </c>
      <c r="F2" s="2">
        <f>SUM(Table9[[#This Row],[Rank]:[Special]])</f>
        <v>5</v>
      </c>
      <c r="G2" s="2">
        <v>1</v>
      </c>
      <c r="H2" s="2" t="str">
        <f>CHAR(43)</f>
        <v>+</v>
      </c>
      <c r="I2" s="2"/>
      <c r="J2" s="2">
        <f>SUM(Table9[[#This Row],[Rank]:[Special]])*Table9[[#This Row],[Factor]]</f>
        <v>5</v>
      </c>
      <c r="K2" s="2" t="str">
        <f>Table9[[#This Row],[Prefix]] &amp; Table9[[#This Row],[CALC]]&amp; Table9[[#This Row],[Postfix]]</f>
        <v>+5</v>
      </c>
      <c r="L2" s="2">
        <f>IFERROR(VLOOKUP(Table9[[#This Row],[Rank]],RANK_LOOKUP,2,FALSE),0)</f>
        <v>5</v>
      </c>
      <c r="N2" s="1" t="s">
        <v>127</v>
      </c>
    </row>
    <row r="3" spans="1:24" x14ac:dyDescent="0.25">
      <c r="A3" s="1" t="s">
        <v>111</v>
      </c>
      <c r="B3" s="2">
        <v>0</v>
      </c>
      <c r="C3" s="2">
        <f>WEAPON_STAMINA</f>
        <v>0</v>
      </c>
      <c r="D3" s="2">
        <f>EQ_STAMINA</f>
        <v>2</v>
      </c>
      <c r="E3" s="2">
        <v>0</v>
      </c>
      <c r="F3" s="2">
        <f>SUM(Table9[[#This Row],[Rank]:[Special]])</f>
        <v>2</v>
      </c>
      <c r="G3" s="2">
        <v>0.1</v>
      </c>
      <c r="H3" s="2" t="str">
        <f>CHAR(43)</f>
        <v>+</v>
      </c>
      <c r="I3" s="2"/>
      <c r="J3" s="2">
        <f>ROUND(SUM(Table9[[#This Row],[Rank]:[Special]]) * 'Character Info'!D7 * Table9[[#This Row],[Factor]],0)</f>
        <v>5</v>
      </c>
      <c r="K3" s="2" t="str">
        <f>Table9[[#This Row],[Prefix]] &amp; Table9[[#This Row],[CALC]]&amp; Table9[[#This Row],[Postfix]]</f>
        <v>+5</v>
      </c>
      <c r="L3" s="2">
        <f>IFERROR(VLOOKUP(Table9[[#This Row],[Rank]],RANK_LOOKUP,2,FALSE),0)</f>
        <v>0</v>
      </c>
      <c r="N3" s="1" t="s">
        <v>126</v>
      </c>
    </row>
    <row r="4" spans="1:24" x14ac:dyDescent="0.25">
      <c r="A4" s="1" t="s">
        <v>112</v>
      </c>
      <c r="B4" s="2">
        <v>4</v>
      </c>
      <c r="C4" s="2">
        <f>WEAPON_CRIT</f>
        <v>1</v>
      </c>
      <c r="D4" s="2">
        <f>EQ_CRIT</f>
        <v>2</v>
      </c>
      <c r="E4" s="2">
        <v>0</v>
      </c>
      <c r="F4" s="2">
        <f>SUM(Table9[[#This Row],[Rank]:[Special]])</f>
        <v>7</v>
      </c>
      <c r="G4" s="10">
        <v>33</v>
      </c>
      <c r="H4" s="2"/>
      <c r="I4" s="2"/>
      <c r="J4" s="2">
        <f>ROUND(Table9[[#This Row],[TotalRank]]*Table9[[#This Row],[Factor]]/100, 0)</f>
        <v>2</v>
      </c>
      <c r="K4" s="2" t="str">
        <f>20 - Table9[[#This Row],[CALC]] &amp; ""</f>
        <v>18</v>
      </c>
      <c r="L4" s="2">
        <f>IFERROR(VLOOKUP(Table9[[#This Row],[Rank]],RANK_LOOKUP,2,FALSE),0)</f>
        <v>14</v>
      </c>
      <c r="N4" s="1" t="s">
        <v>128</v>
      </c>
    </row>
    <row r="5" spans="1:24" x14ac:dyDescent="0.25">
      <c r="A5" s="1" t="s">
        <v>114</v>
      </c>
      <c r="B5" s="2">
        <v>3</v>
      </c>
      <c r="C5" s="2">
        <f>WEAPON_CRITDMG</f>
        <v>0</v>
      </c>
      <c r="D5" s="2">
        <f>EQ_CRITDMG</f>
        <v>0</v>
      </c>
      <c r="E5" s="2">
        <v>0</v>
      </c>
      <c r="F5" s="2">
        <f>SUM(Table9[[#This Row],[Rank]:[Special]])</f>
        <v>3</v>
      </c>
      <c r="G5" s="2">
        <v>1</v>
      </c>
      <c r="H5" s="2" t="s">
        <v>115</v>
      </c>
      <c r="I5" s="2"/>
      <c r="J5" s="2">
        <f xml:space="preserve"> Table9[[#This Row],[Factor]] * Table9[[#This Row],[TotalRank]]</f>
        <v>3</v>
      </c>
      <c r="K5" s="2" t="str">
        <f>Table9[[#This Row],[Prefix]] &amp;Table9[[#This Row],[CALC]]&amp; "d4"</f>
        <v>+3d4</v>
      </c>
      <c r="L5" s="2">
        <f>IFERROR(VLOOKUP(Table9[[#This Row],[Rank]],RANK_LOOKUP,2,FALSE),0)</f>
        <v>9</v>
      </c>
      <c r="N5" s="1" t="s">
        <v>125</v>
      </c>
    </row>
    <row r="6" spans="1:24" x14ac:dyDescent="0.25">
      <c r="A6" s="1" t="s">
        <v>116</v>
      </c>
      <c r="B6" s="2">
        <v>0</v>
      </c>
      <c r="C6" s="2">
        <f>WEAPON_SPLASH</f>
        <v>0</v>
      </c>
      <c r="D6" s="2">
        <f>EQ_SPLASH</f>
        <v>0</v>
      </c>
      <c r="E6" s="2">
        <v>0</v>
      </c>
      <c r="F6" s="2">
        <f>SUM(Table9[[#This Row],[Rank]:[Special]])</f>
        <v>0</v>
      </c>
      <c r="G6" s="2">
        <v>20</v>
      </c>
      <c r="H6" s="2"/>
      <c r="I6" s="2" t="s">
        <v>113</v>
      </c>
      <c r="J6" s="2">
        <f>ROUND(Table9[[#This Row],[TotalRank]] * Table9[[#This Row],[Factor]], 0)</f>
        <v>0</v>
      </c>
      <c r="K6" s="2" t="str">
        <f>Table9[[#This Row],[CALC]]&amp; Table9[[#This Row],[Postfix]]</f>
        <v>0%</v>
      </c>
      <c r="L6" s="2">
        <f>IFERROR(VLOOKUP(Table9[[#This Row],[Rank]],RANK_LOOKUP,2,FALSE),0)</f>
        <v>0</v>
      </c>
      <c r="N6" s="1" t="s">
        <v>129</v>
      </c>
    </row>
    <row r="7" spans="1:24" x14ac:dyDescent="0.25">
      <c r="A7" s="1" t="s">
        <v>123</v>
      </c>
      <c r="B7" s="2">
        <v>0</v>
      </c>
      <c r="C7" s="2">
        <f>WEAPON_SPLASHDMG</f>
        <v>0</v>
      </c>
      <c r="D7" s="2">
        <f>EQ_SPLASHDMG</f>
        <v>0</v>
      </c>
      <c r="E7" s="2">
        <v>0</v>
      </c>
      <c r="F7" s="2">
        <f>SUM(Table9[[#This Row],[Rank]:[Special]])</f>
        <v>0</v>
      </c>
      <c r="G7" s="2">
        <v>1</v>
      </c>
      <c r="H7" s="2" t="s">
        <v>115</v>
      </c>
      <c r="I7" s="2"/>
      <c r="J7" s="2">
        <f xml:space="preserve"> Table9[[#This Row],[Factor]] * Table9[[#This Row],[TotalRank]]</f>
        <v>0</v>
      </c>
      <c r="K7" s="2" t="str">
        <f>Table9[[#This Row],[Prefix]] &amp;Table9[[#This Row],[CALC]]&amp; "d4"</f>
        <v>+0d4</v>
      </c>
      <c r="L7" s="2">
        <f>IFERROR(VLOOKUP(Table9[[#This Row],[Rank]],RANK_LOOKUP,2,FALSE),0)</f>
        <v>0</v>
      </c>
      <c r="N7" s="1" t="s">
        <v>130</v>
      </c>
    </row>
    <row r="8" spans="1:24" x14ac:dyDescent="0.25">
      <c r="A8" s="1" t="s">
        <v>69</v>
      </c>
      <c r="B8" s="2">
        <v>0</v>
      </c>
      <c r="C8" s="2">
        <f>WEAPON_EXPERTISE</f>
        <v>0</v>
      </c>
      <c r="D8" s="2">
        <f>EQ_EXPERTISE</f>
        <v>0</v>
      </c>
      <c r="E8" s="2">
        <v>0</v>
      </c>
      <c r="F8" s="2">
        <f>SUM(Table9[[#This Row],[Rank]:[Special]])</f>
        <v>0</v>
      </c>
      <c r="G8" s="2">
        <v>1</v>
      </c>
      <c r="H8" s="2" t="str">
        <f>CHAR(43)</f>
        <v>+</v>
      </c>
      <c r="I8" s="2"/>
      <c r="J8" s="2">
        <f>Table9[[#This Row],[TotalRank]] * Table9[[#This Row],[Factor]]</f>
        <v>0</v>
      </c>
      <c r="K8" s="2" t="str">
        <f>Table9[[#This Row],[Prefix]] &amp; Table9[[#This Row],[CALC]]</f>
        <v>+0</v>
      </c>
      <c r="L8" s="2">
        <f>IFERROR(VLOOKUP(Table9[[#This Row],[Rank]],RANK_LOOKUP,2,FALSE),0)</f>
        <v>0</v>
      </c>
      <c r="N8" s="1" t="s">
        <v>131</v>
      </c>
    </row>
    <row r="9" spans="1:24" x14ac:dyDescent="0.25">
      <c r="A9" s="1" t="s">
        <v>118</v>
      </c>
      <c r="B9" s="2">
        <v>2</v>
      </c>
      <c r="C9" s="2">
        <f>WEAPON_MOVEMENT</f>
        <v>0</v>
      </c>
      <c r="D9" s="2">
        <f>EQ_MOVEMENT + ARMOR_MOVEMENT</f>
        <v>0</v>
      </c>
      <c r="E9" s="2">
        <v>0</v>
      </c>
      <c r="F9" s="2">
        <f>SUM(Table9[[#This Row],[Rank]:[Special]])</f>
        <v>2</v>
      </c>
      <c r="G9" s="2">
        <v>2</v>
      </c>
      <c r="H9" s="2"/>
      <c r="I9" s="2" t="s">
        <v>119</v>
      </c>
      <c r="J9" s="2">
        <f>Table9[[#This Row],[TotalRank]] * Table9[[#This Row],[Factor]]</f>
        <v>4</v>
      </c>
      <c r="K9" s="2" t="str">
        <f>IF(Table9[[#This Row],[CALC]] &gt; 0,"+","") &amp; Table9[[#This Row],[CALC]]&amp; Table9[[#This Row],[Postfix]]</f>
        <v>+4ft</v>
      </c>
      <c r="L9" s="2">
        <f>IFERROR(VLOOKUP(Table9[[#This Row],[Rank]],RANK_LOOKUP,2,FALSE),0)</f>
        <v>5</v>
      </c>
      <c r="N9" s="1" t="s">
        <v>211</v>
      </c>
    </row>
    <row r="10" spans="1:24" x14ac:dyDescent="0.25">
      <c r="A10" s="1" t="s">
        <v>120</v>
      </c>
      <c r="B10" s="2">
        <v>4</v>
      </c>
      <c r="C10" s="2">
        <f>WEAPON_EXTRAATTACK</f>
        <v>1</v>
      </c>
      <c r="D10" s="2">
        <f>EQ_EXTRAATTACK</f>
        <v>1</v>
      </c>
      <c r="E10" s="2">
        <v>0</v>
      </c>
      <c r="F10" s="2">
        <f>SUM(Table9[[#This Row],[Rank]:[Special]])</f>
        <v>6</v>
      </c>
      <c r="G10" s="2">
        <v>20</v>
      </c>
      <c r="H10" s="2"/>
      <c r="I10" s="2" t="s">
        <v>113</v>
      </c>
      <c r="J10" s="2">
        <f>ROUND(Table9[[#This Row],[TotalRank]] * Table9[[#This Row],[Factor]], 0)</f>
        <v>120</v>
      </c>
      <c r="K10" s="2" t="str">
        <f>Table9[[#This Row],[CALC]]&amp; Table9[[#This Row],[Postfix]]</f>
        <v>120%</v>
      </c>
      <c r="L10" s="2">
        <f>IFERROR(VLOOKUP(Table9[[#This Row],[Rank]],RANK_LOOKUP,2,FALSE),0)</f>
        <v>14</v>
      </c>
      <c r="N10" s="1" t="s">
        <v>132</v>
      </c>
    </row>
    <row r="11" spans="1:24" x14ac:dyDescent="0.25">
      <c r="A11" s="1" t="s">
        <v>121</v>
      </c>
      <c r="B11" s="2">
        <v>0</v>
      </c>
      <c r="C11" s="2">
        <f>WEAPON_ARMOR</f>
        <v>0</v>
      </c>
      <c r="D11" s="2">
        <f>EQ_ARMOR + ARMOR_ARMOR</f>
        <v>2</v>
      </c>
      <c r="E11" s="2">
        <v>0</v>
      </c>
      <c r="F11" s="2">
        <f>SUM(Table9[[#This Row],[Rank]:[Special]])</f>
        <v>2</v>
      </c>
      <c r="G11" s="2">
        <v>1</v>
      </c>
      <c r="H11" s="2" t="str">
        <f>CHAR(43)</f>
        <v>+</v>
      </c>
      <c r="I11" s="2"/>
      <c r="J11" s="2">
        <f>Table9[[#This Row],[TotalRank]] * Table9[[#This Row],[Factor]]</f>
        <v>2</v>
      </c>
      <c r="K11" s="2" t="str">
        <f>Table9[[#This Row],[Prefix]] &amp; Table9[[#This Row],[CALC]]</f>
        <v>+2</v>
      </c>
      <c r="L11" s="2">
        <f>IFERROR(VLOOKUP(Table9[[#This Row],[Rank]],RANK_LOOKUP,2,FALSE),0)</f>
        <v>0</v>
      </c>
      <c r="N11" s="1" t="s">
        <v>133</v>
      </c>
    </row>
    <row r="12" spans="1:24" x14ac:dyDescent="0.25">
      <c r="A12" s="1" t="s">
        <v>122</v>
      </c>
      <c r="B12" s="2">
        <v>0</v>
      </c>
      <c r="C12" s="2">
        <f>WEAPON_AURA</f>
        <v>0</v>
      </c>
      <c r="D12" s="2">
        <f>EQ_AURA</f>
        <v>1</v>
      </c>
      <c r="E12" s="2">
        <v>0</v>
      </c>
      <c r="F12" s="2">
        <f>SUM(Table9[[#This Row],[Rank]:[Special]])</f>
        <v>1</v>
      </c>
      <c r="G12" s="2">
        <v>1</v>
      </c>
      <c r="H12" s="2" t="str">
        <f>CHAR(43)</f>
        <v>+</v>
      </c>
      <c r="I12" s="2"/>
      <c r="J12" s="2">
        <f>Table9[[#This Row],[TotalRank]] * Table9[[#This Row],[Factor]]</f>
        <v>1</v>
      </c>
      <c r="K12" s="2" t="str">
        <f>Table9[[#This Row],[Prefix]] &amp; Table9[[#This Row],[CALC]]</f>
        <v>+1</v>
      </c>
      <c r="L12" s="2">
        <f>IFERROR(VLOOKUP(Table9[[#This Row],[Rank]],RANK_LOOKUP,2,FALSE),0)</f>
        <v>0</v>
      </c>
      <c r="N12" s="1" t="s">
        <v>134</v>
      </c>
    </row>
    <row r="13" spans="1:24" x14ac:dyDescent="0.25">
      <c r="A13" s="1" t="s">
        <v>141</v>
      </c>
      <c r="B13" s="2">
        <v>0</v>
      </c>
      <c r="C13" s="2">
        <f>WEAPON_DIRECTEDSTRIKE</f>
        <v>0</v>
      </c>
      <c r="D13" s="2">
        <v>0</v>
      </c>
      <c r="E13" s="2">
        <v>0</v>
      </c>
      <c r="F13" s="2">
        <f>SUM(Table9[[#This Row],[Rank]:[Special]])</f>
        <v>0</v>
      </c>
      <c r="G13" s="2">
        <v>0</v>
      </c>
      <c r="H13" s="2"/>
      <c r="I13" s="2"/>
      <c r="J13" s="2">
        <v>0</v>
      </c>
      <c r="K13" s="2">
        <v>0</v>
      </c>
      <c r="L13" s="2">
        <f>IFERROR(VLOOKUP(Table9[[#This Row],[Rank]],RANK_LOOKUP,2,FALSE),0)</f>
        <v>0</v>
      </c>
      <c r="N13" s="1" t="s">
        <v>158</v>
      </c>
    </row>
    <row r="14" spans="1:24" x14ac:dyDescent="0.25">
      <c r="A14" s="1" t="s">
        <v>159</v>
      </c>
      <c r="B14" s="2">
        <v>3</v>
      </c>
      <c r="C14" s="2">
        <f>WEAPON_INI</f>
        <v>0</v>
      </c>
      <c r="D14" s="2">
        <f>ARMOR_INI</f>
        <v>-1</v>
      </c>
      <c r="E14" s="2">
        <v>0</v>
      </c>
      <c r="F14" s="2">
        <f>SUM(Table9[[#This Row],[Rank]:[Special]])</f>
        <v>2</v>
      </c>
      <c r="G14" s="2">
        <v>2</v>
      </c>
      <c r="H14" s="2"/>
      <c r="I14" s="2"/>
      <c r="J14" s="2">
        <f>Table9[[#This Row],[TotalRank]] * Table9[[#This Row],[Factor]]</f>
        <v>4</v>
      </c>
      <c r="K14" s="2" t="str">
        <f>Table9[[#This Row],[Prefix]] &amp; SUM(Table9[[#This Row],[Rank]:[Special]])*Table9[[#This Row],[Factor]] &amp; Table9[[#This Row],[Postfix]]</f>
        <v>4</v>
      </c>
      <c r="L14" s="2">
        <f>IFERROR(VLOOKUP(Table9[[#This Row],[Rank]],RANK_LOOKUP,2,FALSE),0)</f>
        <v>9</v>
      </c>
      <c r="N14" s="1" t="s">
        <v>209</v>
      </c>
    </row>
    <row r="15" spans="1:24" x14ac:dyDescent="0.25">
      <c r="A15" s="1" t="s">
        <v>210</v>
      </c>
      <c r="B15" s="2">
        <v>0</v>
      </c>
      <c r="C15" s="2">
        <f>WEAPON_AP</f>
        <v>0</v>
      </c>
      <c r="D15" s="2">
        <v>0</v>
      </c>
      <c r="E15" s="2">
        <v>0</v>
      </c>
      <c r="F15" s="2">
        <f>SUM(Table9[[#This Row],[Rank]:[Special]])</f>
        <v>0</v>
      </c>
      <c r="G15" s="2">
        <v>1</v>
      </c>
      <c r="H15" s="2"/>
      <c r="I15" s="2"/>
      <c r="J15" s="2">
        <f>Table9[[#This Row],[Factor]]*Table9[[#This Row],[TotalRank]]</f>
        <v>0</v>
      </c>
      <c r="K15" s="2">
        <f>Table9[[#This Row],[CALC]]</f>
        <v>0</v>
      </c>
      <c r="L15" s="2">
        <f>IFERROR(VLOOKUP(Table9[[#This Row],[Rank]],RANK_LOOKUP,2,FALSE),0)</f>
        <v>0</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0" spans="2:15" x14ac:dyDescent="0.25">
      <c r="B20" s="79"/>
      <c r="C20" s="79"/>
      <c r="D20" s="79"/>
      <c r="E20" s="79"/>
      <c r="F20" s="79"/>
      <c r="G20" s="79"/>
      <c r="H20" s="79"/>
      <c r="I20" s="79"/>
      <c r="J20" s="79"/>
      <c r="K20" s="79"/>
      <c r="L20" s="79">
        <f>SUM(Table9[XP])</f>
        <v>56</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D7" sqref="D7"/>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23" t="s">
        <v>63</v>
      </c>
      <c r="D1" s="123"/>
      <c r="E1" s="123"/>
      <c r="F1" s="123"/>
      <c r="G1" s="123"/>
      <c r="H1" s="123"/>
      <c r="I1" s="123"/>
      <c r="J1" s="123"/>
      <c r="K1" s="123"/>
      <c r="L1" s="123"/>
      <c r="M1" s="123"/>
      <c r="N1" s="123"/>
      <c r="O1" s="123"/>
      <c r="P1" s="123"/>
      <c r="Q1" s="123" t="s">
        <v>185</v>
      </c>
      <c r="R1" s="123"/>
      <c r="S1" s="123"/>
      <c r="T1" s="123"/>
      <c r="U1" s="123"/>
      <c r="V1" s="28"/>
      <c r="W1" s="28"/>
    </row>
    <row r="2" spans="1:23" ht="42" customHeight="1" x14ac:dyDescent="0.25">
      <c r="A2" s="19" t="s">
        <v>139</v>
      </c>
      <c r="B2" s="19" t="s">
        <v>22</v>
      </c>
      <c r="C2" s="19" t="s">
        <v>153</v>
      </c>
      <c r="D2" s="20" t="s">
        <v>109</v>
      </c>
      <c r="E2" s="20" t="s">
        <v>111</v>
      </c>
      <c r="F2" s="20" t="s">
        <v>112</v>
      </c>
      <c r="G2" s="20" t="s">
        <v>114</v>
      </c>
      <c r="H2" s="20" t="s">
        <v>140</v>
      </c>
      <c r="I2" s="20" t="s">
        <v>156</v>
      </c>
      <c r="J2" s="20" t="s">
        <v>154</v>
      </c>
      <c r="K2" s="20" t="s">
        <v>155</v>
      </c>
      <c r="L2" s="20" t="s">
        <v>157</v>
      </c>
      <c r="M2" s="20" t="s">
        <v>121</v>
      </c>
      <c r="N2" s="20" t="s">
        <v>122</v>
      </c>
      <c r="O2" s="20" t="s">
        <v>141</v>
      </c>
      <c r="P2" s="21" t="s">
        <v>160</v>
      </c>
      <c r="Q2" s="24" t="s">
        <v>36</v>
      </c>
      <c r="R2" s="21" t="s">
        <v>37</v>
      </c>
      <c r="S2" s="21" t="s">
        <v>38</v>
      </c>
      <c r="T2" s="21" t="s">
        <v>55</v>
      </c>
      <c r="U2" s="21" t="s">
        <v>39</v>
      </c>
      <c r="V2" s="21" t="s">
        <v>137</v>
      </c>
    </row>
    <row r="3" spans="1:23" x14ac:dyDescent="0.25">
      <c r="A3" s="1" t="s">
        <v>142</v>
      </c>
      <c r="C3" s="2" t="s">
        <v>28</v>
      </c>
      <c r="D3" s="2">
        <v>0</v>
      </c>
      <c r="E3" s="2">
        <v>0</v>
      </c>
      <c r="F3" s="2">
        <v>0</v>
      </c>
      <c r="G3" s="2">
        <v>0</v>
      </c>
      <c r="H3" s="2">
        <v>0</v>
      </c>
      <c r="I3" s="2">
        <v>0</v>
      </c>
      <c r="J3" s="2">
        <v>0</v>
      </c>
      <c r="K3" s="2">
        <v>0</v>
      </c>
      <c r="L3" s="2">
        <v>0</v>
      </c>
      <c r="M3" s="2">
        <v>0</v>
      </c>
      <c r="N3" s="2">
        <v>0</v>
      </c>
      <c r="O3" s="2">
        <v>0</v>
      </c>
      <c r="P3" s="2">
        <v>0</v>
      </c>
      <c r="Q3" s="25">
        <v>0</v>
      </c>
      <c r="R3" s="2">
        <v>0</v>
      </c>
      <c r="S3" s="2">
        <v>0</v>
      </c>
      <c r="T3" s="2">
        <v>0</v>
      </c>
      <c r="U3" s="2">
        <v>0</v>
      </c>
      <c r="V3" s="22"/>
    </row>
    <row r="4" spans="1:23" x14ac:dyDescent="0.25">
      <c r="A4" s="1" t="s">
        <v>143</v>
      </c>
      <c r="B4" s="1" t="s">
        <v>152</v>
      </c>
      <c r="C4" s="2" t="s">
        <v>28</v>
      </c>
      <c r="D4" s="2">
        <v>0</v>
      </c>
      <c r="E4" s="2">
        <v>2</v>
      </c>
      <c r="F4" s="2">
        <v>0</v>
      </c>
      <c r="G4" s="2">
        <v>0</v>
      </c>
      <c r="H4" s="2">
        <v>0</v>
      </c>
      <c r="I4" s="2">
        <v>0</v>
      </c>
      <c r="J4" s="2">
        <v>0</v>
      </c>
      <c r="K4" s="2">
        <v>1</v>
      </c>
      <c r="L4" s="2">
        <v>1</v>
      </c>
      <c r="M4" s="2">
        <v>1</v>
      </c>
      <c r="N4" s="2">
        <v>1</v>
      </c>
      <c r="O4" s="2">
        <v>0</v>
      </c>
      <c r="P4" s="2">
        <v>2</v>
      </c>
      <c r="Q4" s="25">
        <v>10</v>
      </c>
      <c r="R4" s="2">
        <v>0</v>
      </c>
      <c r="S4" s="2">
        <v>0</v>
      </c>
      <c r="T4" s="2">
        <v>0</v>
      </c>
      <c r="U4" s="2">
        <v>0</v>
      </c>
      <c r="V4" s="22" t="s">
        <v>152</v>
      </c>
    </row>
    <row r="5" spans="1:23" x14ac:dyDescent="0.25">
      <c r="A5" s="1" t="s">
        <v>144</v>
      </c>
      <c r="B5" s="1" t="s">
        <v>152</v>
      </c>
      <c r="C5" s="2" t="s">
        <v>28</v>
      </c>
      <c r="D5" s="2">
        <v>0</v>
      </c>
      <c r="E5" s="2">
        <v>0</v>
      </c>
      <c r="F5" s="2">
        <v>0</v>
      </c>
      <c r="G5" s="2">
        <v>0</v>
      </c>
      <c r="H5" s="2">
        <v>0</v>
      </c>
      <c r="I5" s="2">
        <v>0</v>
      </c>
      <c r="J5" s="2">
        <v>0</v>
      </c>
      <c r="K5" s="2">
        <v>0</v>
      </c>
      <c r="L5" s="2">
        <v>0</v>
      </c>
      <c r="M5" s="2">
        <v>0</v>
      </c>
      <c r="N5" s="2">
        <v>0</v>
      </c>
      <c r="O5" s="2">
        <v>0</v>
      </c>
      <c r="P5" s="2">
        <v>0</v>
      </c>
      <c r="Q5" s="25">
        <v>0</v>
      </c>
      <c r="R5" s="2">
        <v>0</v>
      </c>
      <c r="S5" s="2">
        <v>0</v>
      </c>
      <c r="T5" s="2">
        <v>0</v>
      </c>
      <c r="U5" s="2">
        <v>0</v>
      </c>
      <c r="V5" s="22" t="s">
        <v>152</v>
      </c>
    </row>
    <row r="6" spans="1:23" x14ac:dyDescent="0.25">
      <c r="A6" s="1" t="s">
        <v>145</v>
      </c>
      <c r="B6" s="1" t="s">
        <v>152</v>
      </c>
      <c r="C6" s="2" t="s">
        <v>28</v>
      </c>
      <c r="D6" s="2">
        <v>0</v>
      </c>
      <c r="E6" s="2">
        <v>0</v>
      </c>
      <c r="F6" s="2">
        <v>0</v>
      </c>
      <c r="G6" s="2">
        <v>0</v>
      </c>
      <c r="H6" s="2">
        <v>0</v>
      </c>
      <c r="I6" s="2">
        <v>0</v>
      </c>
      <c r="J6" s="2">
        <v>0</v>
      </c>
      <c r="K6" s="2">
        <v>0</v>
      </c>
      <c r="L6" s="2">
        <v>0</v>
      </c>
      <c r="M6" s="2">
        <v>0</v>
      </c>
      <c r="N6" s="2">
        <v>0</v>
      </c>
      <c r="O6" s="2">
        <v>0</v>
      </c>
      <c r="P6" s="2">
        <v>0</v>
      </c>
      <c r="Q6" s="25">
        <v>0</v>
      </c>
      <c r="R6" s="2">
        <v>0</v>
      </c>
      <c r="S6" s="2">
        <v>0</v>
      </c>
      <c r="T6" s="2">
        <v>0</v>
      </c>
      <c r="U6" s="2">
        <v>0</v>
      </c>
      <c r="V6" s="22" t="s">
        <v>152</v>
      </c>
    </row>
    <row r="7" spans="1:23" x14ac:dyDescent="0.25">
      <c r="A7" s="1" t="s">
        <v>150</v>
      </c>
      <c r="B7" s="1" t="s">
        <v>152</v>
      </c>
      <c r="C7" s="2" t="s">
        <v>28</v>
      </c>
      <c r="D7" s="2">
        <v>0</v>
      </c>
      <c r="E7" s="2">
        <v>0</v>
      </c>
      <c r="F7" s="2">
        <v>0</v>
      </c>
      <c r="G7" s="2">
        <v>0</v>
      </c>
      <c r="H7" s="2">
        <v>0</v>
      </c>
      <c r="I7" s="2">
        <v>0</v>
      </c>
      <c r="J7" s="2">
        <v>0</v>
      </c>
      <c r="K7" s="2">
        <v>0</v>
      </c>
      <c r="L7" s="2">
        <v>0</v>
      </c>
      <c r="M7" s="2">
        <v>0</v>
      </c>
      <c r="N7" s="2">
        <v>0</v>
      </c>
      <c r="O7" s="2">
        <v>0</v>
      </c>
      <c r="P7" s="2">
        <v>0</v>
      </c>
      <c r="Q7" s="25">
        <v>0</v>
      </c>
      <c r="R7" s="2">
        <v>0</v>
      </c>
      <c r="S7" s="2">
        <v>0</v>
      </c>
      <c r="T7" s="2">
        <v>0</v>
      </c>
      <c r="U7" s="2">
        <v>0</v>
      </c>
      <c r="V7" s="22" t="s">
        <v>152</v>
      </c>
    </row>
    <row r="8" spans="1:23" x14ac:dyDescent="0.25">
      <c r="A8" s="1" t="s">
        <v>146</v>
      </c>
      <c r="B8" s="1" t="s">
        <v>152</v>
      </c>
      <c r="C8" s="2" t="s">
        <v>28</v>
      </c>
      <c r="D8" s="2">
        <v>0</v>
      </c>
      <c r="E8" s="2">
        <v>0</v>
      </c>
      <c r="F8" s="2">
        <v>0</v>
      </c>
      <c r="G8" s="2">
        <v>0</v>
      </c>
      <c r="H8" s="2">
        <v>0</v>
      </c>
      <c r="I8" s="2">
        <v>0</v>
      </c>
      <c r="J8" s="2">
        <v>0</v>
      </c>
      <c r="K8" s="2">
        <v>0</v>
      </c>
      <c r="L8" s="2">
        <v>0</v>
      </c>
      <c r="M8" s="2">
        <v>0</v>
      </c>
      <c r="N8" s="2">
        <v>0</v>
      </c>
      <c r="O8" s="2">
        <v>0</v>
      </c>
      <c r="P8" s="2">
        <v>0</v>
      </c>
      <c r="Q8" s="25">
        <v>0</v>
      </c>
      <c r="R8" s="2">
        <v>0</v>
      </c>
      <c r="S8" s="2">
        <v>0</v>
      </c>
      <c r="T8" s="2">
        <v>0</v>
      </c>
      <c r="U8" s="2">
        <v>0</v>
      </c>
      <c r="V8" s="22" t="s">
        <v>152</v>
      </c>
    </row>
    <row r="9" spans="1:23" x14ac:dyDescent="0.25">
      <c r="A9" s="1" t="s">
        <v>147</v>
      </c>
      <c r="B9" s="1" t="s">
        <v>152</v>
      </c>
      <c r="C9" s="2" t="s">
        <v>28</v>
      </c>
      <c r="D9" s="2">
        <v>0</v>
      </c>
      <c r="E9" s="2">
        <v>0</v>
      </c>
      <c r="F9" s="2">
        <v>0</v>
      </c>
      <c r="G9" s="2">
        <v>0</v>
      </c>
      <c r="H9" s="2">
        <v>0</v>
      </c>
      <c r="I9" s="2">
        <v>0</v>
      </c>
      <c r="J9" s="2">
        <v>0</v>
      </c>
      <c r="K9" s="2">
        <v>0</v>
      </c>
      <c r="L9" s="2">
        <v>0</v>
      </c>
      <c r="M9" s="2">
        <v>0</v>
      </c>
      <c r="N9" s="2">
        <v>0</v>
      </c>
      <c r="O9" s="2">
        <v>0</v>
      </c>
      <c r="P9" s="2">
        <v>0</v>
      </c>
      <c r="Q9" s="25">
        <v>0</v>
      </c>
      <c r="R9" s="2">
        <v>0</v>
      </c>
      <c r="S9" s="2">
        <v>0</v>
      </c>
      <c r="T9" s="2">
        <v>0</v>
      </c>
      <c r="U9" s="2">
        <v>0</v>
      </c>
      <c r="V9" s="22" t="s">
        <v>152</v>
      </c>
    </row>
    <row r="10" spans="1:23" x14ac:dyDescent="0.25">
      <c r="A10" s="1" t="s">
        <v>148</v>
      </c>
      <c r="C10" s="2" t="s">
        <v>28</v>
      </c>
      <c r="D10" s="2">
        <v>0</v>
      </c>
      <c r="E10" s="2">
        <v>0</v>
      </c>
      <c r="F10" s="2">
        <v>0</v>
      </c>
      <c r="G10" s="2">
        <v>0</v>
      </c>
      <c r="H10" s="2">
        <v>0</v>
      </c>
      <c r="I10" s="2">
        <v>0</v>
      </c>
      <c r="J10" s="2">
        <v>0</v>
      </c>
      <c r="K10" s="2">
        <v>0</v>
      </c>
      <c r="L10" s="2">
        <v>0</v>
      </c>
      <c r="M10" s="2">
        <v>0</v>
      </c>
      <c r="N10" s="2">
        <v>0</v>
      </c>
      <c r="O10" s="2">
        <v>0</v>
      </c>
      <c r="P10" s="2">
        <v>0</v>
      </c>
      <c r="Q10" s="25">
        <v>0</v>
      </c>
      <c r="R10" s="2">
        <v>0</v>
      </c>
      <c r="S10" s="2">
        <v>0</v>
      </c>
      <c r="T10" s="2">
        <v>0</v>
      </c>
      <c r="U10" s="2">
        <v>0</v>
      </c>
      <c r="V10" s="22"/>
    </row>
    <row r="11" spans="1:23" x14ac:dyDescent="0.25">
      <c r="A11" s="1" t="s">
        <v>149</v>
      </c>
      <c r="C11" s="2" t="s">
        <v>28</v>
      </c>
      <c r="D11" s="2">
        <v>0</v>
      </c>
      <c r="E11" s="2">
        <v>0</v>
      </c>
      <c r="F11" s="2">
        <v>0</v>
      </c>
      <c r="G11" s="2">
        <v>0</v>
      </c>
      <c r="H11" s="2">
        <v>0</v>
      </c>
      <c r="I11" s="2">
        <v>0</v>
      </c>
      <c r="J11" s="2">
        <v>0</v>
      </c>
      <c r="K11" s="2">
        <v>0</v>
      </c>
      <c r="L11" s="2">
        <v>0</v>
      </c>
      <c r="M11" s="2">
        <v>0</v>
      </c>
      <c r="N11" s="2">
        <v>0</v>
      </c>
      <c r="O11" s="2">
        <v>0</v>
      </c>
      <c r="P11" s="2">
        <v>0</v>
      </c>
      <c r="Q11" s="25">
        <v>0</v>
      </c>
      <c r="R11" s="2">
        <v>0</v>
      </c>
      <c r="S11" s="2">
        <v>0</v>
      </c>
      <c r="T11" s="2">
        <v>0</v>
      </c>
      <c r="U11" s="2">
        <v>0</v>
      </c>
      <c r="V11" s="22"/>
    </row>
    <row r="12" spans="1:23" x14ac:dyDescent="0.25">
      <c r="A12" s="1" t="s">
        <v>151</v>
      </c>
      <c r="C12" s="2" t="s">
        <v>28</v>
      </c>
      <c r="D12" s="2">
        <v>0</v>
      </c>
      <c r="E12" s="2">
        <v>0</v>
      </c>
      <c r="F12" s="2">
        <v>0</v>
      </c>
      <c r="G12" s="2">
        <v>0</v>
      </c>
      <c r="H12" s="2">
        <v>0</v>
      </c>
      <c r="I12" s="2">
        <v>0</v>
      </c>
      <c r="J12" s="2">
        <v>0</v>
      </c>
      <c r="K12" s="2">
        <v>0</v>
      </c>
      <c r="L12" s="2">
        <v>0</v>
      </c>
      <c r="M12" s="2">
        <v>0</v>
      </c>
      <c r="N12" s="2">
        <v>0</v>
      </c>
      <c r="O12" s="2">
        <v>0</v>
      </c>
      <c r="P12" s="2">
        <v>0</v>
      </c>
      <c r="Q12" s="25">
        <v>0</v>
      </c>
      <c r="R12" s="2">
        <v>0</v>
      </c>
      <c r="S12" s="2">
        <v>0</v>
      </c>
      <c r="T12" s="2">
        <v>0</v>
      </c>
      <c r="U12" s="2">
        <v>0</v>
      </c>
      <c r="V12" s="22"/>
    </row>
    <row r="13" spans="1:23" x14ac:dyDescent="0.25">
      <c r="A13" s="1" t="s">
        <v>138</v>
      </c>
      <c r="C13" s="2" t="s">
        <v>29</v>
      </c>
      <c r="D13" s="2">
        <v>0</v>
      </c>
      <c r="E13" s="2">
        <v>0</v>
      </c>
      <c r="F13" s="2">
        <v>0</v>
      </c>
      <c r="G13" s="2">
        <v>0</v>
      </c>
      <c r="H13" s="2">
        <v>0</v>
      </c>
      <c r="I13" s="2">
        <v>0</v>
      </c>
      <c r="J13" s="2">
        <v>0</v>
      </c>
      <c r="K13" s="2">
        <v>0</v>
      </c>
      <c r="L13" s="2">
        <v>0</v>
      </c>
      <c r="M13" s="2">
        <v>0</v>
      </c>
      <c r="N13" s="2">
        <v>0</v>
      </c>
      <c r="O13" s="2">
        <v>0</v>
      </c>
      <c r="P13" s="2">
        <v>0</v>
      </c>
      <c r="Q13" s="25">
        <v>0</v>
      </c>
      <c r="R13" s="2">
        <v>0</v>
      </c>
      <c r="S13" s="2">
        <v>0</v>
      </c>
      <c r="T13" s="2">
        <v>0</v>
      </c>
      <c r="U13" s="2">
        <v>0</v>
      </c>
      <c r="V13" s="22"/>
    </row>
    <row r="14" spans="1:23" x14ac:dyDescent="0.25">
      <c r="A14" s="1" t="s">
        <v>138</v>
      </c>
      <c r="C14" s="2" t="s">
        <v>29</v>
      </c>
      <c r="D14" s="2">
        <v>0</v>
      </c>
      <c r="E14" s="2">
        <v>0</v>
      </c>
      <c r="F14" s="2">
        <v>0</v>
      </c>
      <c r="G14" s="2">
        <v>0</v>
      </c>
      <c r="H14" s="2">
        <v>0</v>
      </c>
      <c r="I14" s="2">
        <v>0</v>
      </c>
      <c r="J14" s="2">
        <v>0</v>
      </c>
      <c r="K14" s="2">
        <v>0</v>
      </c>
      <c r="L14" s="2">
        <v>0</v>
      </c>
      <c r="M14" s="2">
        <v>0</v>
      </c>
      <c r="N14" s="2">
        <v>0</v>
      </c>
      <c r="O14" s="2">
        <v>0</v>
      </c>
      <c r="P14" s="2">
        <v>0</v>
      </c>
      <c r="Q14" s="25">
        <v>0</v>
      </c>
      <c r="R14" s="2">
        <v>0</v>
      </c>
      <c r="S14" s="2">
        <v>0</v>
      </c>
      <c r="T14" s="2">
        <v>0</v>
      </c>
      <c r="U14" s="2">
        <v>0</v>
      </c>
      <c r="V14" s="22"/>
    </row>
    <row r="15" spans="1:23" x14ac:dyDescent="0.25">
      <c r="A15" s="1" t="s">
        <v>138</v>
      </c>
      <c r="C15" s="2" t="s">
        <v>29</v>
      </c>
      <c r="D15" s="2">
        <v>0</v>
      </c>
      <c r="E15" s="2">
        <v>0</v>
      </c>
      <c r="F15" s="2">
        <v>0</v>
      </c>
      <c r="G15" s="2">
        <v>0</v>
      </c>
      <c r="H15" s="2">
        <v>0</v>
      </c>
      <c r="I15" s="2">
        <v>0</v>
      </c>
      <c r="J15" s="2">
        <v>0</v>
      </c>
      <c r="K15" s="2">
        <v>0</v>
      </c>
      <c r="L15" s="2">
        <v>0</v>
      </c>
      <c r="M15" s="2">
        <v>0</v>
      </c>
      <c r="N15" s="2">
        <v>0</v>
      </c>
      <c r="O15" s="2">
        <v>0</v>
      </c>
      <c r="P15" s="2">
        <v>0</v>
      </c>
      <c r="Q15" s="25">
        <v>0</v>
      </c>
      <c r="R15" s="2">
        <v>0</v>
      </c>
      <c r="S15" s="2">
        <v>0</v>
      </c>
      <c r="T15" s="2">
        <v>0</v>
      </c>
      <c r="U15" s="2">
        <v>0</v>
      </c>
      <c r="V15" s="22"/>
    </row>
    <row r="16" spans="1:23" x14ac:dyDescent="0.25">
      <c r="A16" s="1" t="s">
        <v>138</v>
      </c>
      <c r="C16" s="2" t="s">
        <v>29</v>
      </c>
      <c r="D16" s="2">
        <v>0</v>
      </c>
      <c r="E16" s="2">
        <v>0</v>
      </c>
      <c r="F16" s="2">
        <v>0</v>
      </c>
      <c r="G16" s="2">
        <v>0</v>
      </c>
      <c r="H16" s="2">
        <v>0</v>
      </c>
      <c r="I16" s="2">
        <v>0</v>
      </c>
      <c r="J16" s="2">
        <v>0</v>
      </c>
      <c r="K16" s="2">
        <v>0</v>
      </c>
      <c r="L16" s="2">
        <v>0</v>
      </c>
      <c r="M16" s="2">
        <v>0</v>
      </c>
      <c r="N16" s="2">
        <v>0</v>
      </c>
      <c r="O16" s="2">
        <v>0</v>
      </c>
      <c r="P16" s="2">
        <v>0</v>
      </c>
      <c r="Q16" s="25">
        <v>0</v>
      </c>
      <c r="R16" s="2">
        <v>0</v>
      </c>
      <c r="S16" s="2">
        <v>0</v>
      </c>
      <c r="T16" s="2">
        <v>0</v>
      </c>
      <c r="U16" s="2">
        <v>0</v>
      </c>
      <c r="V16" s="22"/>
    </row>
    <row r="17" spans="1:22" x14ac:dyDescent="0.25">
      <c r="A17" s="1" t="s">
        <v>138</v>
      </c>
      <c r="C17" s="2" t="s">
        <v>29</v>
      </c>
      <c r="D17" s="2">
        <v>0</v>
      </c>
      <c r="E17" s="2">
        <v>0</v>
      </c>
      <c r="F17" s="2">
        <v>0</v>
      </c>
      <c r="G17" s="2">
        <v>0</v>
      </c>
      <c r="H17" s="2">
        <v>0</v>
      </c>
      <c r="I17" s="2">
        <v>0</v>
      </c>
      <c r="J17" s="2">
        <v>0</v>
      </c>
      <c r="K17" s="2">
        <v>0</v>
      </c>
      <c r="L17" s="2">
        <v>0</v>
      </c>
      <c r="M17" s="2">
        <v>0</v>
      </c>
      <c r="N17" s="2">
        <v>0</v>
      </c>
      <c r="O17" s="2">
        <v>0</v>
      </c>
      <c r="P17" s="2">
        <v>0</v>
      </c>
      <c r="Q17" s="25">
        <v>0</v>
      </c>
      <c r="R17" s="2">
        <v>0</v>
      </c>
      <c r="S17" s="2">
        <v>0</v>
      </c>
      <c r="T17" s="2">
        <v>0</v>
      </c>
      <c r="U17" s="2">
        <v>0</v>
      </c>
      <c r="V17" s="22"/>
    </row>
    <row r="18" spans="1:22" x14ac:dyDescent="0.25">
      <c r="A18" s="1" t="s">
        <v>138</v>
      </c>
      <c r="C18" s="2" t="s">
        <v>29</v>
      </c>
      <c r="D18" s="2">
        <v>0</v>
      </c>
      <c r="E18" s="2">
        <v>0</v>
      </c>
      <c r="F18" s="2">
        <v>0</v>
      </c>
      <c r="G18" s="2">
        <v>0</v>
      </c>
      <c r="H18" s="2">
        <v>0</v>
      </c>
      <c r="I18" s="2">
        <v>0</v>
      </c>
      <c r="J18" s="2">
        <v>0</v>
      </c>
      <c r="K18" s="2">
        <v>0</v>
      </c>
      <c r="L18" s="2">
        <v>0</v>
      </c>
      <c r="M18" s="2">
        <v>0</v>
      </c>
      <c r="N18" s="2">
        <v>0</v>
      </c>
      <c r="O18" s="2">
        <v>0</v>
      </c>
      <c r="P18" s="2">
        <v>0</v>
      </c>
      <c r="Q18" s="25">
        <v>0</v>
      </c>
      <c r="R18" s="2">
        <v>0</v>
      </c>
      <c r="S18" s="2">
        <v>0</v>
      </c>
      <c r="T18" s="2">
        <v>0</v>
      </c>
      <c r="U18" s="2">
        <v>0</v>
      </c>
      <c r="V18" s="22"/>
    </row>
    <row r="19" spans="1:22" x14ac:dyDescent="0.25">
      <c r="A19" s="1" t="s">
        <v>138</v>
      </c>
      <c r="C19" s="2" t="s">
        <v>29</v>
      </c>
      <c r="D19" s="2">
        <v>0</v>
      </c>
      <c r="E19" s="2">
        <v>0</v>
      </c>
      <c r="F19" s="2">
        <v>0</v>
      </c>
      <c r="G19" s="2">
        <v>0</v>
      </c>
      <c r="H19" s="2">
        <v>0</v>
      </c>
      <c r="I19" s="2">
        <v>0</v>
      </c>
      <c r="J19" s="2">
        <v>0</v>
      </c>
      <c r="K19" s="2">
        <v>0</v>
      </c>
      <c r="L19" s="2">
        <v>0</v>
      </c>
      <c r="M19" s="2">
        <v>0</v>
      </c>
      <c r="N19" s="2">
        <v>0</v>
      </c>
      <c r="O19" s="2">
        <v>0</v>
      </c>
      <c r="P19" s="2">
        <v>0</v>
      </c>
      <c r="Q19" s="25">
        <v>0</v>
      </c>
      <c r="R19" s="2">
        <v>0</v>
      </c>
      <c r="S19" s="2">
        <v>0</v>
      </c>
      <c r="T19" s="2">
        <v>0</v>
      </c>
      <c r="U19" s="2">
        <v>0</v>
      </c>
      <c r="V19" s="22"/>
    </row>
    <row r="20" spans="1:22" x14ac:dyDescent="0.25">
      <c r="A20" s="1" t="s">
        <v>138</v>
      </c>
      <c r="C20" s="2" t="s">
        <v>29</v>
      </c>
      <c r="D20" s="2">
        <v>0</v>
      </c>
      <c r="E20" s="2">
        <v>0</v>
      </c>
      <c r="F20" s="2">
        <v>0</v>
      </c>
      <c r="G20" s="2">
        <v>0</v>
      </c>
      <c r="H20" s="2">
        <v>0</v>
      </c>
      <c r="I20" s="2">
        <v>0</v>
      </c>
      <c r="J20" s="2">
        <v>0</v>
      </c>
      <c r="K20" s="2">
        <v>0</v>
      </c>
      <c r="L20" s="2">
        <v>0</v>
      </c>
      <c r="M20" s="2">
        <v>0</v>
      </c>
      <c r="N20" s="2">
        <v>0</v>
      </c>
      <c r="O20" s="2">
        <v>0</v>
      </c>
      <c r="P20" s="2">
        <v>0</v>
      </c>
      <c r="Q20" s="25">
        <v>0</v>
      </c>
      <c r="R20" s="2">
        <v>0</v>
      </c>
      <c r="S20" s="2">
        <v>0</v>
      </c>
      <c r="T20" s="2">
        <v>0</v>
      </c>
      <c r="U20" s="2">
        <v>0</v>
      </c>
      <c r="V20" s="22"/>
    </row>
    <row r="21" spans="1:22" x14ac:dyDescent="0.25">
      <c r="A21" s="1" t="s">
        <v>138</v>
      </c>
      <c r="C21" s="2" t="s">
        <v>29</v>
      </c>
      <c r="D21" s="2">
        <v>0</v>
      </c>
      <c r="E21" s="2">
        <v>0</v>
      </c>
      <c r="F21" s="2">
        <v>0</v>
      </c>
      <c r="G21" s="2">
        <v>0</v>
      </c>
      <c r="H21" s="2">
        <v>0</v>
      </c>
      <c r="I21" s="2">
        <v>0</v>
      </c>
      <c r="J21" s="2">
        <v>0</v>
      </c>
      <c r="K21" s="2">
        <v>0</v>
      </c>
      <c r="L21" s="2">
        <v>0</v>
      </c>
      <c r="M21" s="2">
        <v>0</v>
      </c>
      <c r="N21" s="2">
        <v>0</v>
      </c>
      <c r="O21" s="2">
        <v>0</v>
      </c>
      <c r="P21" s="2">
        <v>0</v>
      </c>
      <c r="Q21" s="25">
        <v>0</v>
      </c>
      <c r="R21" s="2">
        <v>0</v>
      </c>
      <c r="S21" s="2">
        <v>0</v>
      </c>
      <c r="T21" s="2">
        <v>0</v>
      </c>
      <c r="U21" s="2">
        <v>0</v>
      </c>
      <c r="V21" s="22"/>
    </row>
    <row r="22" spans="1:22" x14ac:dyDescent="0.25">
      <c r="A22" s="1" t="s">
        <v>49</v>
      </c>
      <c r="C22" s="2"/>
      <c r="D22" s="2">
        <f>SUMIF(Table12[Enabled],"Yes",Table12[DMG])</f>
        <v>0</v>
      </c>
      <c r="E22" s="2">
        <f>SUMIF(Table12[Enabled],"Yes",Table12[Stamina])</f>
        <v>2</v>
      </c>
      <c r="F22" s="2">
        <f>SUMIF(Table12[Enabled],"Yes",Table12[Stamina])</f>
        <v>2</v>
      </c>
      <c r="G22" s="2">
        <f>SUMIF(Table12[Enabled],"Yes",Table12[Crit DMG])</f>
        <v>0</v>
      </c>
      <c r="H22" s="2">
        <f>SUMIF(Table12[Enabled],"Yes",Table12[Splash])</f>
        <v>0</v>
      </c>
      <c r="I22" s="2">
        <f>SUMIF(Table12[Enabled],"Yes",Table12[Splash 
DMG])</f>
        <v>0</v>
      </c>
      <c r="J22" s="2">
        <f>SUMIF(Table12[Enabled],"Yes",Table12[Exprt.])</f>
        <v>0</v>
      </c>
      <c r="K22" s="2">
        <f>SUMIF(Table12[Enabled],"Yes",Table12[Mvmt.])</f>
        <v>1</v>
      </c>
      <c r="L22" s="2">
        <f>SUMIF(Table12[Enabled],"Yes",Table12[Extra 
Attack])</f>
        <v>1</v>
      </c>
      <c r="M22" s="2">
        <f>SUMIF(Table12[Enabled],"Yes",Table12[Armor])</f>
        <v>1</v>
      </c>
      <c r="N22" s="2">
        <f>SUMIF(Table12[Enabled],"Yes",Table12[Aura])</f>
        <v>1</v>
      </c>
      <c r="O22" s="2">
        <f>SUMIF(Table12[Enabled],"Yes",Table12[Directed Strike])</f>
        <v>0</v>
      </c>
      <c r="P22" s="2">
        <f>SUMIF(Table12[Enabled],"Yes",Table12[INI])</f>
        <v>2</v>
      </c>
      <c r="Q22" s="25">
        <f>SUMIF(Table12[Enabled],"Yes",Table12[STR])</f>
        <v>10</v>
      </c>
      <c r="R22" s="2">
        <f>SUMIF(Table12[Enabled],"Yes",Table12[AGI])</f>
        <v>0</v>
      </c>
      <c r="S22" s="2">
        <f>SUMIF(Table12[Enabled],"Yes",Table12[INU])</f>
        <v>0</v>
      </c>
      <c r="T22" s="2">
        <f>SUMIF(Table12[Enabled],"Yes",Table12[CHA])</f>
        <v>0</v>
      </c>
      <c r="U22" s="2">
        <f>SUMIF(Table12[Enabled],"Yes",Table12[PER])</f>
        <v>0</v>
      </c>
      <c r="V22" s="2"/>
    </row>
    <row r="24" spans="1:22" x14ac:dyDescent="0.25">
      <c r="B24" s="1" t="s">
        <v>164</v>
      </c>
      <c r="C24" s="2" t="s">
        <v>121</v>
      </c>
      <c r="D24" s="2" t="s">
        <v>160</v>
      </c>
      <c r="E24" s="2" t="s">
        <v>180</v>
      </c>
      <c r="F24" s="2" t="s">
        <v>21</v>
      </c>
    </row>
    <row r="25" spans="1:22" x14ac:dyDescent="0.25">
      <c r="A25" s="1" t="s">
        <v>121</v>
      </c>
      <c r="B25" s="1" t="s">
        <v>152</v>
      </c>
      <c r="C25" s="2">
        <f>VLOOKUP($B$25,ARMOR_TYPE,2,FALSE)</f>
        <v>1</v>
      </c>
      <c r="D25" s="2">
        <f>VLOOKUP($B$25,ARMOR_TYPE,3,FALSE)</f>
        <v>-1</v>
      </c>
      <c r="E25" s="2">
        <f>VLOOKUP($B$25,ARMOR_TYPE,4,FALSE)</f>
        <v>-1</v>
      </c>
      <c r="F25" s="2">
        <v>0</v>
      </c>
    </row>
    <row r="26" spans="1:22" x14ac:dyDescent="0.25">
      <c r="A26" s="1" t="s">
        <v>169</v>
      </c>
      <c r="B26" s="1" t="s">
        <v>138</v>
      </c>
      <c r="C26" s="2">
        <f>VLOOKUP($B$26,SHIELD_TYPE,2,FALSE)</f>
        <v>0</v>
      </c>
      <c r="D26" s="2">
        <f>VLOOKUP($B$26,SHIELD_TYPE,3,FALSE)</f>
        <v>0</v>
      </c>
      <c r="E26" s="2">
        <f>VLOOKUP($B$26,SHIELD_TYPE,4,FALSE)</f>
        <v>0</v>
      </c>
      <c r="F26" s="2">
        <f>VLOOKUP($B$26,SHIELD_TYPE,5,FALSE)</f>
        <v>0</v>
      </c>
    </row>
    <row r="27" spans="1:22" x14ac:dyDescent="0.25">
      <c r="A27" s="75" t="s">
        <v>208</v>
      </c>
      <c r="B27" s="75"/>
      <c r="C27" s="76">
        <f>SUM(C25:C26)</f>
        <v>1</v>
      </c>
      <c r="D27" s="76">
        <f>SUM(D25:D26)</f>
        <v>-1</v>
      </c>
      <c r="E27" s="76">
        <f>SUM(E25:E26)</f>
        <v>-1</v>
      </c>
      <c r="F27" s="76">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workbookViewId="0">
      <selection activeCell="G3" sqref="G3"/>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19" width="10.83203125" style="1"/>
    <col min="20" max="20" width="9.33203125" style="1" customWidth="1"/>
    <col min="21" max="25" width="10.83203125" style="1"/>
    <col min="26" max="26" width="10.5" style="1" customWidth="1"/>
    <col min="27" max="27" width="61" style="1" customWidth="1"/>
    <col min="28" max="16384" width="10.83203125" style="1"/>
  </cols>
  <sheetData>
    <row r="1" spans="1:29" x14ac:dyDescent="0.25">
      <c r="C1" s="123" t="s">
        <v>106</v>
      </c>
      <c r="D1" s="123"/>
      <c r="E1" s="123"/>
      <c r="F1" s="123" t="s">
        <v>63</v>
      </c>
      <c r="G1" s="123"/>
      <c r="H1" s="123"/>
      <c r="I1" s="123"/>
      <c r="J1" s="123"/>
      <c r="K1" s="123"/>
      <c r="L1" s="123"/>
      <c r="M1" s="123"/>
      <c r="N1" s="123"/>
      <c r="O1" s="123"/>
      <c r="P1" s="123"/>
      <c r="Q1" s="123"/>
      <c r="R1" s="123"/>
      <c r="S1" s="123" t="s">
        <v>185</v>
      </c>
      <c r="T1" s="123"/>
      <c r="U1" s="123"/>
      <c r="V1" s="123"/>
      <c r="W1" s="123"/>
    </row>
    <row r="2" spans="1:29" ht="42" customHeight="1" x14ac:dyDescent="0.25">
      <c r="A2" s="19" t="s">
        <v>22</v>
      </c>
      <c r="B2" s="19" t="s">
        <v>153</v>
      </c>
      <c r="C2" s="19" t="s">
        <v>164</v>
      </c>
      <c r="D2" s="27" t="s">
        <v>182</v>
      </c>
      <c r="E2" s="19" t="s">
        <v>183</v>
      </c>
      <c r="F2" s="19" t="s">
        <v>184</v>
      </c>
      <c r="G2" s="19" t="s">
        <v>160</v>
      </c>
      <c r="H2" s="26" t="s">
        <v>109</v>
      </c>
      <c r="I2" s="20" t="s">
        <v>111</v>
      </c>
      <c r="J2" s="20" t="s">
        <v>112</v>
      </c>
      <c r="K2" s="20" t="s">
        <v>114</v>
      </c>
      <c r="L2" s="20" t="s">
        <v>140</v>
      </c>
      <c r="M2" s="20" t="s">
        <v>156</v>
      </c>
      <c r="N2" s="20" t="s">
        <v>154</v>
      </c>
      <c r="O2" s="20" t="s">
        <v>155</v>
      </c>
      <c r="P2" s="20" t="s">
        <v>157</v>
      </c>
      <c r="Q2" s="20" t="s">
        <v>121</v>
      </c>
      <c r="R2" s="20" t="s">
        <v>122</v>
      </c>
      <c r="S2" s="20" t="s">
        <v>141</v>
      </c>
      <c r="T2" s="20" t="s">
        <v>210</v>
      </c>
      <c r="U2" s="21" t="s">
        <v>217</v>
      </c>
      <c r="V2" s="24" t="s">
        <v>36</v>
      </c>
      <c r="W2" s="21" t="s">
        <v>37</v>
      </c>
      <c r="X2" s="21" t="s">
        <v>38</v>
      </c>
      <c r="Y2" s="21" t="s">
        <v>55</v>
      </c>
      <c r="Z2" s="21" t="s">
        <v>39</v>
      </c>
      <c r="AA2" s="20" t="s">
        <v>108</v>
      </c>
    </row>
    <row r="3" spans="1:29" x14ac:dyDescent="0.25">
      <c r="A3" s="1" t="s">
        <v>280</v>
      </c>
      <c r="B3" s="2" t="s">
        <v>28</v>
      </c>
      <c r="C3" s="2" t="s">
        <v>203</v>
      </c>
      <c r="D3" s="4">
        <v>2</v>
      </c>
      <c r="E3" s="2">
        <v>12</v>
      </c>
      <c r="F3" s="2">
        <v>2</v>
      </c>
      <c r="G3" s="2">
        <v>18</v>
      </c>
      <c r="H3" s="4">
        <v>1</v>
      </c>
      <c r="I3" s="2">
        <v>0</v>
      </c>
      <c r="J3" s="2">
        <v>1</v>
      </c>
      <c r="K3" s="2">
        <v>0</v>
      </c>
      <c r="L3" s="2">
        <v>0</v>
      </c>
      <c r="M3" s="2">
        <v>0</v>
      </c>
      <c r="N3" s="2">
        <v>0</v>
      </c>
      <c r="O3" s="2">
        <v>0</v>
      </c>
      <c r="P3" s="2">
        <v>1</v>
      </c>
      <c r="Q3" s="2">
        <v>0</v>
      </c>
      <c r="R3" s="2">
        <v>0</v>
      </c>
      <c r="S3" s="2">
        <v>0</v>
      </c>
      <c r="T3" s="83">
        <v>0</v>
      </c>
      <c r="U3" s="2">
        <v>0</v>
      </c>
      <c r="V3" s="25">
        <v>10</v>
      </c>
      <c r="W3" s="2">
        <v>0</v>
      </c>
      <c r="X3" s="2">
        <v>0</v>
      </c>
      <c r="Y3" s="2">
        <v>0</v>
      </c>
      <c r="Z3" s="2">
        <v>0</v>
      </c>
      <c r="AA3"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Great Axe: 2d12+2+8+5  INI:18</v>
      </c>
      <c r="AC3" s="1" t="s">
        <v>281</v>
      </c>
    </row>
    <row r="4" spans="1:29" x14ac:dyDescent="0.25">
      <c r="A4" s="1" t="s">
        <v>218</v>
      </c>
      <c r="B4" s="2" t="s">
        <v>29</v>
      </c>
      <c r="C4" s="2" t="s">
        <v>203</v>
      </c>
      <c r="D4" s="4">
        <v>1</v>
      </c>
      <c r="E4" s="2">
        <v>12</v>
      </c>
      <c r="F4" s="2">
        <v>1</v>
      </c>
      <c r="G4" s="2">
        <v>18</v>
      </c>
      <c r="H4" s="4">
        <v>0</v>
      </c>
      <c r="I4" s="2">
        <v>0</v>
      </c>
      <c r="J4" s="2">
        <v>0</v>
      </c>
      <c r="K4" s="2">
        <v>0</v>
      </c>
      <c r="L4" s="2">
        <v>0</v>
      </c>
      <c r="M4" s="2">
        <v>0</v>
      </c>
      <c r="N4" s="2">
        <v>0</v>
      </c>
      <c r="O4" s="2">
        <v>0</v>
      </c>
      <c r="P4" s="2">
        <v>0</v>
      </c>
      <c r="Q4" s="2">
        <v>0</v>
      </c>
      <c r="R4" s="2">
        <v>0</v>
      </c>
      <c r="S4" s="2">
        <v>0</v>
      </c>
      <c r="T4" s="83">
        <v>0</v>
      </c>
      <c r="U4" s="2">
        <v>0</v>
      </c>
      <c r="V4" s="25">
        <v>0</v>
      </c>
      <c r="W4" s="2">
        <v>0</v>
      </c>
      <c r="X4" s="2">
        <v>0</v>
      </c>
      <c r="Y4" s="2">
        <v>0</v>
      </c>
      <c r="Z4" s="2">
        <v>0</v>
      </c>
      <c r="AA4"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2-H Warhammer: 1d12+1+8+5  INI:18</v>
      </c>
    </row>
    <row r="5" spans="1:29" x14ac:dyDescent="0.25">
      <c r="A5" s="1" t="s">
        <v>222</v>
      </c>
      <c r="B5" s="2" t="s">
        <v>29</v>
      </c>
      <c r="C5" s="2" t="s">
        <v>203</v>
      </c>
      <c r="D5" s="4">
        <v>1</v>
      </c>
      <c r="E5" s="2">
        <v>12</v>
      </c>
      <c r="F5" s="2">
        <v>0</v>
      </c>
      <c r="G5" s="2">
        <v>16</v>
      </c>
      <c r="H5" s="4">
        <v>0</v>
      </c>
      <c r="I5" s="2">
        <v>0</v>
      </c>
      <c r="J5" s="2">
        <v>0</v>
      </c>
      <c r="K5" s="2">
        <v>0</v>
      </c>
      <c r="L5" s="2">
        <v>0</v>
      </c>
      <c r="M5" s="2">
        <v>0</v>
      </c>
      <c r="N5" s="2">
        <v>0</v>
      </c>
      <c r="O5" s="2">
        <v>0</v>
      </c>
      <c r="P5" s="2">
        <v>0</v>
      </c>
      <c r="Q5" s="2">
        <v>0</v>
      </c>
      <c r="R5" s="2">
        <v>0</v>
      </c>
      <c r="S5" s="2">
        <v>0</v>
      </c>
      <c r="T5" s="83">
        <v>0</v>
      </c>
      <c r="U5" s="2">
        <v>0</v>
      </c>
      <c r="V5" s="25">
        <v>0</v>
      </c>
      <c r="W5" s="2">
        <v>0</v>
      </c>
      <c r="X5" s="2">
        <v>0</v>
      </c>
      <c r="Y5" s="2">
        <v>0</v>
      </c>
      <c r="Z5" s="2">
        <v>0</v>
      </c>
      <c r="AA5"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Greataxe: 1d12+0+8+5  INI:16</v>
      </c>
    </row>
    <row r="6" spans="1:29" x14ac:dyDescent="0.25">
      <c r="A6" s="1" t="s">
        <v>221</v>
      </c>
      <c r="B6" s="2" t="s">
        <v>29</v>
      </c>
      <c r="C6" s="2" t="s">
        <v>203</v>
      </c>
      <c r="D6" s="4">
        <v>1</v>
      </c>
      <c r="E6" s="2">
        <v>8</v>
      </c>
      <c r="F6" s="2">
        <v>0</v>
      </c>
      <c r="G6" s="2">
        <v>14</v>
      </c>
      <c r="H6" s="4">
        <v>0</v>
      </c>
      <c r="I6" s="2">
        <v>0</v>
      </c>
      <c r="J6" s="2">
        <v>0</v>
      </c>
      <c r="K6" s="2">
        <v>0</v>
      </c>
      <c r="L6" s="2">
        <v>0</v>
      </c>
      <c r="M6" s="2">
        <v>0</v>
      </c>
      <c r="N6" s="2">
        <v>0</v>
      </c>
      <c r="O6" s="2">
        <v>0</v>
      </c>
      <c r="P6" s="2">
        <v>0</v>
      </c>
      <c r="Q6" s="2">
        <v>0</v>
      </c>
      <c r="R6" s="2">
        <v>0</v>
      </c>
      <c r="S6" s="2">
        <v>0</v>
      </c>
      <c r="T6" s="83">
        <v>0</v>
      </c>
      <c r="U6" s="2">
        <v>0</v>
      </c>
      <c r="V6" s="25">
        <v>0</v>
      </c>
      <c r="W6" s="2">
        <v>0</v>
      </c>
      <c r="X6" s="2">
        <v>0</v>
      </c>
      <c r="Y6" s="2">
        <v>0</v>
      </c>
      <c r="Z6" s="2">
        <v>0</v>
      </c>
      <c r="AA6"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Longsword: 1d8+0+8+5  INI:14</v>
      </c>
    </row>
    <row r="7" spans="1:29" x14ac:dyDescent="0.25">
      <c r="A7" s="1" t="s">
        <v>219</v>
      </c>
      <c r="B7" s="2" t="s">
        <v>29</v>
      </c>
      <c r="C7" s="2" t="s">
        <v>203</v>
      </c>
      <c r="D7" s="4">
        <v>1</v>
      </c>
      <c r="E7" s="2">
        <v>6</v>
      </c>
      <c r="F7" s="2">
        <v>0</v>
      </c>
      <c r="G7" s="2">
        <v>10</v>
      </c>
      <c r="H7" s="4">
        <v>0</v>
      </c>
      <c r="I7" s="2">
        <v>0</v>
      </c>
      <c r="J7" s="2">
        <v>0</v>
      </c>
      <c r="K7" s="2">
        <v>0</v>
      </c>
      <c r="L7" s="2">
        <v>0</v>
      </c>
      <c r="M7" s="2">
        <v>0</v>
      </c>
      <c r="N7" s="2">
        <v>0</v>
      </c>
      <c r="O7" s="2">
        <v>0</v>
      </c>
      <c r="P7" s="2">
        <v>0</v>
      </c>
      <c r="Q7" s="2">
        <v>0</v>
      </c>
      <c r="R7" s="2">
        <v>0</v>
      </c>
      <c r="S7" s="2">
        <v>0</v>
      </c>
      <c r="T7" s="83">
        <v>0</v>
      </c>
      <c r="U7" s="2">
        <v>0</v>
      </c>
      <c r="V7" s="25">
        <v>0</v>
      </c>
      <c r="W7" s="2">
        <v>0</v>
      </c>
      <c r="X7" s="2">
        <v>0</v>
      </c>
      <c r="Y7" s="2">
        <v>0</v>
      </c>
      <c r="Z7" s="2">
        <v>0</v>
      </c>
      <c r="AA7"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Spear: 1d6+0+8+5  INI:10</v>
      </c>
    </row>
    <row r="8" spans="1:29" x14ac:dyDescent="0.25">
      <c r="A8" s="1" t="s">
        <v>220</v>
      </c>
      <c r="B8" s="2" t="s">
        <v>29</v>
      </c>
      <c r="C8" s="2" t="s">
        <v>203</v>
      </c>
      <c r="D8" s="4">
        <v>2</v>
      </c>
      <c r="E8" s="2">
        <v>6</v>
      </c>
      <c r="F8" s="2">
        <v>0</v>
      </c>
      <c r="G8" s="2">
        <v>18</v>
      </c>
      <c r="H8" s="4">
        <v>0</v>
      </c>
      <c r="I8" s="2">
        <v>0</v>
      </c>
      <c r="J8" s="2">
        <v>0</v>
      </c>
      <c r="K8" s="2">
        <v>0</v>
      </c>
      <c r="L8" s="2">
        <v>0</v>
      </c>
      <c r="M8" s="2">
        <v>0</v>
      </c>
      <c r="N8" s="2">
        <v>0</v>
      </c>
      <c r="O8" s="2">
        <v>0</v>
      </c>
      <c r="P8" s="2">
        <v>0</v>
      </c>
      <c r="Q8" s="2">
        <v>0</v>
      </c>
      <c r="R8" s="2">
        <v>0</v>
      </c>
      <c r="S8" s="2">
        <v>0</v>
      </c>
      <c r="T8" s="83">
        <v>0</v>
      </c>
      <c r="U8" s="2">
        <v>0</v>
      </c>
      <c r="V8" s="25">
        <v>0</v>
      </c>
      <c r="W8" s="2">
        <v>0</v>
      </c>
      <c r="X8" s="2">
        <v>0</v>
      </c>
      <c r="Y8" s="2">
        <v>0</v>
      </c>
      <c r="Z8" s="2">
        <v>0</v>
      </c>
      <c r="AA8"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Maul (2-H): 2d6+0+8+5  INI:18</v>
      </c>
    </row>
    <row r="9" spans="1:29" x14ac:dyDescent="0.25">
      <c r="A9" s="1" t="s">
        <v>223</v>
      </c>
      <c r="B9" s="2" t="s">
        <v>29</v>
      </c>
      <c r="C9" s="2" t="s">
        <v>204</v>
      </c>
      <c r="D9" s="4">
        <v>1</v>
      </c>
      <c r="E9" s="2">
        <v>8</v>
      </c>
      <c r="F9" s="2">
        <v>0</v>
      </c>
      <c r="G9" s="2">
        <v>16</v>
      </c>
      <c r="H9" s="4">
        <v>0</v>
      </c>
      <c r="I9" s="2">
        <v>0</v>
      </c>
      <c r="J9" s="2">
        <v>0</v>
      </c>
      <c r="K9" s="2">
        <v>0</v>
      </c>
      <c r="L9" s="2">
        <v>0</v>
      </c>
      <c r="M9" s="2">
        <v>0</v>
      </c>
      <c r="N9" s="2">
        <v>0</v>
      </c>
      <c r="O9" s="2">
        <v>0</v>
      </c>
      <c r="P9" s="2">
        <v>0</v>
      </c>
      <c r="Q9" s="2">
        <v>0</v>
      </c>
      <c r="R9" s="2">
        <v>0</v>
      </c>
      <c r="S9" s="2">
        <v>0</v>
      </c>
      <c r="T9" s="83">
        <v>0</v>
      </c>
      <c r="U9" s="2">
        <v>0</v>
      </c>
      <c r="V9" s="25">
        <v>0</v>
      </c>
      <c r="W9" s="2">
        <v>0</v>
      </c>
      <c r="X9" s="2">
        <v>0</v>
      </c>
      <c r="Y9" s="2">
        <v>0</v>
      </c>
      <c r="Z9" s="2">
        <v>0</v>
      </c>
      <c r="AA9"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Longbow: 1d8+0+1+5  INI:16</v>
      </c>
    </row>
    <row r="10" spans="1:29" x14ac:dyDescent="0.25">
      <c r="A10" s="1" t="s">
        <v>224</v>
      </c>
      <c r="B10" s="2" t="s">
        <v>29</v>
      </c>
      <c r="C10" s="2" t="s">
        <v>204</v>
      </c>
      <c r="D10" s="4">
        <v>1</v>
      </c>
      <c r="E10" s="2">
        <v>4</v>
      </c>
      <c r="F10" s="2">
        <v>0</v>
      </c>
      <c r="G10" s="2">
        <v>12</v>
      </c>
      <c r="H10" s="4">
        <v>0</v>
      </c>
      <c r="I10" s="2">
        <v>0</v>
      </c>
      <c r="J10" s="2">
        <v>0</v>
      </c>
      <c r="K10" s="2">
        <v>0</v>
      </c>
      <c r="L10" s="2">
        <v>0</v>
      </c>
      <c r="M10" s="2">
        <v>0</v>
      </c>
      <c r="N10" s="2">
        <v>0</v>
      </c>
      <c r="O10" s="2">
        <v>0</v>
      </c>
      <c r="P10" s="2">
        <v>0</v>
      </c>
      <c r="Q10" s="2">
        <v>0</v>
      </c>
      <c r="R10" s="2">
        <v>0</v>
      </c>
      <c r="S10" s="2">
        <v>0</v>
      </c>
      <c r="T10" s="83">
        <v>0</v>
      </c>
      <c r="U10" s="2">
        <v>0</v>
      </c>
      <c r="V10" s="25">
        <v>0</v>
      </c>
      <c r="W10" s="2">
        <v>0</v>
      </c>
      <c r="X10" s="2">
        <v>0</v>
      </c>
      <c r="Y10" s="2">
        <v>0</v>
      </c>
      <c r="Z10" s="2">
        <v>0</v>
      </c>
      <c r="AA10"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Shortbow: 1d4+0+1+5  INI:12</v>
      </c>
    </row>
    <row r="11" spans="1:29" x14ac:dyDescent="0.25">
      <c r="A11" s="1" t="s">
        <v>225</v>
      </c>
      <c r="B11" s="2" t="s">
        <v>29</v>
      </c>
      <c r="C11" s="2" t="s">
        <v>205</v>
      </c>
      <c r="D11" s="4">
        <v>1</v>
      </c>
      <c r="E11" s="2">
        <v>4</v>
      </c>
      <c r="F11" s="2">
        <v>0</v>
      </c>
      <c r="G11" s="2">
        <v>10</v>
      </c>
      <c r="H11" s="4">
        <v>0</v>
      </c>
      <c r="I11" s="2">
        <v>0</v>
      </c>
      <c r="J11" s="2">
        <v>0</v>
      </c>
      <c r="K11" s="2">
        <v>0</v>
      </c>
      <c r="L11" s="2">
        <v>0</v>
      </c>
      <c r="M11" s="2">
        <v>0</v>
      </c>
      <c r="N11" s="2">
        <v>0</v>
      </c>
      <c r="O11" s="2">
        <v>0</v>
      </c>
      <c r="P11" s="2">
        <v>0</v>
      </c>
      <c r="Q11" s="2">
        <v>0</v>
      </c>
      <c r="R11" s="2">
        <v>0</v>
      </c>
      <c r="S11" s="2">
        <v>0</v>
      </c>
      <c r="T11" s="83">
        <v>0</v>
      </c>
      <c r="U11" s="2">
        <v>0</v>
      </c>
      <c r="V11" s="25">
        <v>0</v>
      </c>
      <c r="W11" s="2">
        <v>0</v>
      </c>
      <c r="X11" s="2">
        <v>0</v>
      </c>
      <c r="Y11" s="2">
        <v>0</v>
      </c>
      <c r="Z11" s="2">
        <v>0</v>
      </c>
      <c r="AA11"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Source: 1d4+0+2+5  INI:10</v>
      </c>
    </row>
    <row r="12" spans="1:29" x14ac:dyDescent="0.25">
      <c r="A12" s="1" t="s">
        <v>226</v>
      </c>
      <c r="B12" s="2" t="s">
        <v>29</v>
      </c>
      <c r="C12" s="2" t="s">
        <v>203</v>
      </c>
      <c r="D12" s="4">
        <v>1</v>
      </c>
      <c r="E12" s="2">
        <v>12</v>
      </c>
      <c r="F12" s="2">
        <v>1</v>
      </c>
      <c r="G12" s="2">
        <v>18</v>
      </c>
      <c r="H12" s="4">
        <v>0</v>
      </c>
      <c r="I12" s="2">
        <v>0</v>
      </c>
      <c r="J12" s="2">
        <v>0</v>
      </c>
      <c r="K12" s="2">
        <v>0</v>
      </c>
      <c r="L12" s="2">
        <v>0</v>
      </c>
      <c r="M12" s="2">
        <v>0</v>
      </c>
      <c r="N12" s="2">
        <v>0</v>
      </c>
      <c r="O12" s="2">
        <v>0</v>
      </c>
      <c r="P12" s="2">
        <v>0</v>
      </c>
      <c r="Q12" s="2">
        <v>0</v>
      </c>
      <c r="R12" s="2">
        <v>0</v>
      </c>
      <c r="S12" s="2">
        <v>0</v>
      </c>
      <c r="T12" s="83">
        <v>0</v>
      </c>
      <c r="U12" s="2">
        <v>0</v>
      </c>
      <c r="V12" s="25">
        <v>0</v>
      </c>
      <c r="W12" s="2">
        <v>0</v>
      </c>
      <c r="X12" s="2">
        <v>0</v>
      </c>
      <c r="Y12" s="2">
        <v>0</v>
      </c>
      <c r="Z12" s="2">
        <v>0</v>
      </c>
      <c r="AA12"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Wand: 1d12+1+8+5  INI:18</v>
      </c>
    </row>
    <row r="13" spans="1:29" x14ac:dyDescent="0.25">
      <c r="B13" s="2" t="s">
        <v>29</v>
      </c>
      <c r="C13" s="2"/>
      <c r="D13" s="4"/>
      <c r="E13" s="2"/>
      <c r="F13" s="2"/>
      <c r="G13" s="2"/>
      <c r="H13" s="4">
        <v>0</v>
      </c>
      <c r="I13" s="2">
        <v>0</v>
      </c>
      <c r="J13" s="2">
        <v>0</v>
      </c>
      <c r="K13" s="2">
        <v>0</v>
      </c>
      <c r="L13" s="2">
        <v>0</v>
      </c>
      <c r="M13" s="2">
        <v>0</v>
      </c>
      <c r="N13" s="2">
        <v>0</v>
      </c>
      <c r="O13" s="2">
        <v>0</v>
      </c>
      <c r="P13" s="2">
        <v>0</v>
      </c>
      <c r="Q13" s="2">
        <v>0</v>
      </c>
      <c r="R13" s="2">
        <v>0</v>
      </c>
      <c r="S13" s="2">
        <v>0</v>
      </c>
      <c r="T13" s="83">
        <v>0</v>
      </c>
      <c r="U13" s="2">
        <v>0</v>
      </c>
      <c r="V13" s="25">
        <v>0</v>
      </c>
      <c r="W13" s="2">
        <v>0</v>
      </c>
      <c r="X13" s="2">
        <v>0</v>
      </c>
      <c r="Y13" s="2">
        <v>0</v>
      </c>
      <c r="Z13" s="2">
        <v>0</v>
      </c>
      <c r="AA13" s="77"/>
    </row>
    <row r="14" spans="1:29" x14ac:dyDescent="0.25">
      <c r="B14" s="2" t="s">
        <v>29</v>
      </c>
      <c r="C14" s="2"/>
      <c r="D14" s="4"/>
      <c r="E14" s="2"/>
      <c r="F14" s="2"/>
      <c r="G14" s="2"/>
      <c r="H14" s="4">
        <v>0</v>
      </c>
      <c r="I14" s="2">
        <v>0</v>
      </c>
      <c r="J14" s="2">
        <v>0</v>
      </c>
      <c r="K14" s="2">
        <v>0</v>
      </c>
      <c r="L14" s="2">
        <v>0</v>
      </c>
      <c r="M14" s="2">
        <v>0</v>
      </c>
      <c r="N14" s="2">
        <v>0</v>
      </c>
      <c r="O14" s="2">
        <v>0</v>
      </c>
      <c r="P14" s="2">
        <v>0</v>
      </c>
      <c r="Q14" s="2">
        <v>0</v>
      </c>
      <c r="R14" s="2">
        <v>0</v>
      </c>
      <c r="S14" s="2">
        <v>0</v>
      </c>
      <c r="T14" s="83">
        <v>0</v>
      </c>
      <c r="U14" s="2">
        <v>0</v>
      </c>
      <c r="V14" s="25">
        <v>0</v>
      </c>
      <c r="W14" s="2">
        <v>0</v>
      </c>
      <c r="X14" s="2">
        <v>0</v>
      </c>
      <c r="Y14" s="2">
        <v>0</v>
      </c>
      <c r="Z14" s="2">
        <v>0</v>
      </c>
      <c r="AA14" s="77"/>
    </row>
    <row r="15" spans="1:29" x14ac:dyDescent="0.25">
      <c r="B15" s="2" t="s">
        <v>29</v>
      </c>
      <c r="C15" s="2"/>
      <c r="D15" s="4"/>
      <c r="E15" s="2"/>
      <c r="F15" s="2"/>
      <c r="G15" s="2"/>
      <c r="H15" s="4">
        <v>0</v>
      </c>
      <c r="I15" s="2">
        <v>0</v>
      </c>
      <c r="J15" s="2">
        <v>0</v>
      </c>
      <c r="K15" s="2">
        <v>0</v>
      </c>
      <c r="L15" s="2">
        <v>0</v>
      </c>
      <c r="M15" s="2">
        <v>0</v>
      </c>
      <c r="N15" s="2">
        <v>0</v>
      </c>
      <c r="O15" s="2">
        <v>0</v>
      </c>
      <c r="P15" s="2">
        <v>0</v>
      </c>
      <c r="Q15" s="2">
        <v>0</v>
      </c>
      <c r="R15" s="2">
        <v>0</v>
      </c>
      <c r="S15" s="2">
        <v>0</v>
      </c>
      <c r="T15" s="83">
        <v>0</v>
      </c>
      <c r="U15" s="2">
        <v>0</v>
      </c>
      <c r="V15" s="25">
        <v>0</v>
      </c>
      <c r="W15" s="2">
        <v>0</v>
      </c>
      <c r="X15" s="2">
        <v>0</v>
      </c>
      <c r="Y15" s="2">
        <v>0</v>
      </c>
      <c r="Z15" s="2">
        <v>0</v>
      </c>
      <c r="AA15" s="77"/>
    </row>
    <row r="16" spans="1:29" x14ac:dyDescent="0.25">
      <c r="B16" s="2" t="s">
        <v>29</v>
      </c>
      <c r="C16" s="2"/>
      <c r="D16" s="4"/>
      <c r="E16" s="2"/>
      <c r="F16" s="2"/>
      <c r="G16" s="2"/>
      <c r="H16" s="4">
        <v>0</v>
      </c>
      <c r="I16" s="2">
        <v>0</v>
      </c>
      <c r="J16" s="2">
        <v>0</v>
      </c>
      <c r="K16" s="2">
        <v>0</v>
      </c>
      <c r="L16" s="2">
        <v>0</v>
      </c>
      <c r="M16" s="2">
        <v>0</v>
      </c>
      <c r="N16" s="2">
        <v>0</v>
      </c>
      <c r="O16" s="2">
        <v>0</v>
      </c>
      <c r="P16" s="2">
        <v>0</v>
      </c>
      <c r="Q16" s="2">
        <v>0</v>
      </c>
      <c r="R16" s="2">
        <v>0</v>
      </c>
      <c r="S16" s="2">
        <v>0</v>
      </c>
      <c r="T16" s="83">
        <v>0</v>
      </c>
      <c r="U16" s="2">
        <v>0</v>
      </c>
      <c r="V16" s="25">
        <v>0</v>
      </c>
      <c r="W16" s="2">
        <v>0</v>
      </c>
      <c r="X16" s="2">
        <v>0</v>
      </c>
      <c r="Y16" s="2">
        <v>0</v>
      </c>
      <c r="Z16" s="2">
        <v>0</v>
      </c>
      <c r="AA16" s="77"/>
    </row>
    <row r="17" spans="2:27" x14ac:dyDescent="0.25">
      <c r="B17" s="2" t="s">
        <v>29</v>
      </c>
      <c r="C17" s="2"/>
      <c r="D17" s="4"/>
      <c r="E17" s="2"/>
      <c r="F17" s="2"/>
      <c r="G17" s="2"/>
      <c r="H17" s="4">
        <v>0</v>
      </c>
      <c r="I17" s="2">
        <v>0</v>
      </c>
      <c r="J17" s="2">
        <v>0</v>
      </c>
      <c r="K17" s="2">
        <v>0</v>
      </c>
      <c r="L17" s="2">
        <v>0</v>
      </c>
      <c r="M17" s="2">
        <v>0</v>
      </c>
      <c r="N17" s="2">
        <v>0</v>
      </c>
      <c r="O17" s="2">
        <v>0</v>
      </c>
      <c r="P17" s="2">
        <v>0</v>
      </c>
      <c r="Q17" s="2">
        <v>0</v>
      </c>
      <c r="R17" s="2">
        <v>0</v>
      </c>
      <c r="S17" s="2">
        <v>0</v>
      </c>
      <c r="T17" s="83">
        <v>0</v>
      </c>
      <c r="U17" s="2">
        <v>0</v>
      </c>
      <c r="V17" s="25">
        <v>0</v>
      </c>
      <c r="W17" s="2">
        <v>0</v>
      </c>
      <c r="X17" s="2">
        <v>0</v>
      </c>
      <c r="Y17" s="2">
        <v>0</v>
      </c>
      <c r="Z17" s="2">
        <v>0</v>
      </c>
      <c r="AA17" s="77"/>
    </row>
    <row r="18" spans="2:27" x14ac:dyDescent="0.25">
      <c r="B18" s="2" t="s">
        <v>29</v>
      </c>
      <c r="C18" s="2"/>
      <c r="D18" s="4"/>
      <c r="E18" s="2"/>
      <c r="F18" s="2"/>
      <c r="G18" s="2"/>
      <c r="H18" s="4">
        <v>0</v>
      </c>
      <c r="I18" s="2">
        <v>0</v>
      </c>
      <c r="J18" s="2">
        <v>0</v>
      </c>
      <c r="K18" s="2">
        <v>0</v>
      </c>
      <c r="L18" s="2">
        <v>0</v>
      </c>
      <c r="M18" s="2">
        <v>0</v>
      </c>
      <c r="N18" s="2">
        <v>0</v>
      </c>
      <c r="O18" s="2">
        <v>0</v>
      </c>
      <c r="P18" s="2">
        <v>0</v>
      </c>
      <c r="Q18" s="2">
        <v>0</v>
      </c>
      <c r="R18" s="2">
        <v>0</v>
      </c>
      <c r="S18" s="2">
        <v>0</v>
      </c>
      <c r="T18" s="83">
        <v>0</v>
      </c>
      <c r="U18" s="2">
        <v>0</v>
      </c>
      <c r="V18" s="25">
        <v>0</v>
      </c>
      <c r="W18" s="2">
        <v>0</v>
      </c>
      <c r="X18" s="2">
        <v>0</v>
      </c>
      <c r="Y18" s="2">
        <v>0</v>
      </c>
      <c r="Z18" s="2">
        <v>0</v>
      </c>
      <c r="AA18" s="77"/>
    </row>
    <row r="19" spans="2:27" x14ac:dyDescent="0.25">
      <c r="B19" s="2" t="s">
        <v>29</v>
      </c>
      <c r="C19" s="2"/>
      <c r="D19" s="4"/>
      <c r="E19" s="2"/>
      <c r="F19" s="2"/>
      <c r="G19" s="2"/>
      <c r="H19" s="4">
        <v>0</v>
      </c>
      <c r="I19" s="2">
        <v>0</v>
      </c>
      <c r="J19" s="2">
        <v>0</v>
      </c>
      <c r="K19" s="2">
        <v>0</v>
      </c>
      <c r="L19" s="2">
        <v>0</v>
      </c>
      <c r="M19" s="2">
        <v>0</v>
      </c>
      <c r="N19" s="2">
        <v>0</v>
      </c>
      <c r="O19" s="2">
        <v>0</v>
      </c>
      <c r="P19" s="2">
        <v>0</v>
      </c>
      <c r="Q19" s="2">
        <v>0</v>
      </c>
      <c r="R19" s="2">
        <v>0</v>
      </c>
      <c r="S19" s="2">
        <v>0</v>
      </c>
      <c r="T19" s="83">
        <v>0</v>
      </c>
      <c r="U19" s="2">
        <v>0</v>
      </c>
      <c r="V19" s="25">
        <v>0</v>
      </c>
      <c r="W19" s="2">
        <v>0</v>
      </c>
      <c r="X19" s="2">
        <v>0</v>
      </c>
      <c r="Y19" s="2">
        <v>0</v>
      </c>
      <c r="Z19" s="2">
        <v>0</v>
      </c>
      <c r="AA19" s="77"/>
    </row>
    <row r="20" spans="2:27" x14ac:dyDescent="0.25">
      <c r="B20" s="2" t="s">
        <v>29</v>
      </c>
      <c r="C20" s="2"/>
      <c r="D20" s="4"/>
      <c r="E20" s="2"/>
      <c r="F20" s="2"/>
      <c r="G20" s="2"/>
      <c r="H20" s="4">
        <v>0</v>
      </c>
      <c r="I20" s="2">
        <v>0</v>
      </c>
      <c r="J20" s="2">
        <v>0</v>
      </c>
      <c r="K20" s="2">
        <v>0</v>
      </c>
      <c r="L20" s="2">
        <v>0</v>
      </c>
      <c r="M20" s="2">
        <v>0</v>
      </c>
      <c r="N20" s="2">
        <v>0</v>
      </c>
      <c r="O20" s="2">
        <v>0</v>
      </c>
      <c r="P20" s="2">
        <v>0</v>
      </c>
      <c r="Q20" s="2">
        <v>0</v>
      </c>
      <c r="R20" s="2">
        <v>0</v>
      </c>
      <c r="S20" s="2">
        <v>0</v>
      </c>
      <c r="T20" s="83">
        <v>0</v>
      </c>
      <c r="U20" s="2">
        <v>0</v>
      </c>
      <c r="V20" s="25">
        <v>0</v>
      </c>
      <c r="W20" s="2">
        <v>0</v>
      </c>
      <c r="X20" s="2">
        <v>0</v>
      </c>
      <c r="Y20" s="2">
        <v>0</v>
      </c>
      <c r="Z20" s="2">
        <v>0</v>
      </c>
      <c r="AA20" s="77"/>
    </row>
    <row r="21" spans="2:27" x14ac:dyDescent="0.25">
      <c r="B21" s="2" t="s">
        <v>29</v>
      </c>
      <c r="C21" s="2"/>
      <c r="D21" s="4"/>
      <c r="E21" s="2"/>
      <c r="F21" s="2"/>
      <c r="G21" s="2"/>
      <c r="H21" s="4">
        <v>0</v>
      </c>
      <c r="I21" s="2">
        <v>0</v>
      </c>
      <c r="J21" s="2">
        <v>0</v>
      </c>
      <c r="K21" s="2">
        <v>0</v>
      </c>
      <c r="L21" s="2">
        <v>0</v>
      </c>
      <c r="M21" s="2">
        <v>0</v>
      </c>
      <c r="N21" s="2">
        <v>0</v>
      </c>
      <c r="O21" s="2">
        <v>0</v>
      </c>
      <c r="P21" s="2">
        <v>0</v>
      </c>
      <c r="Q21" s="2">
        <v>0</v>
      </c>
      <c r="R21" s="2">
        <v>0</v>
      </c>
      <c r="S21" s="2">
        <v>0</v>
      </c>
      <c r="T21" s="83">
        <v>0</v>
      </c>
      <c r="U21" s="2">
        <v>0</v>
      </c>
      <c r="V21" s="25">
        <v>0</v>
      </c>
      <c r="W21" s="2">
        <v>0</v>
      </c>
      <c r="X21" s="2">
        <v>0</v>
      </c>
      <c r="Y21" s="2">
        <v>0</v>
      </c>
      <c r="Z21" s="2">
        <v>0</v>
      </c>
      <c r="AA21" s="77"/>
    </row>
    <row r="22" spans="2:27" x14ac:dyDescent="0.25">
      <c r="B22" s="83"/>
      <c r="C22" s="83"/>
      <c r="D22" s="4"/>
      <c r="E22" s="83"/>
      <c r="F22" s="83"/>
      <c r="G22" s="83"/>
      <c r="H22" s="4">
        <f>SUMIF(Table1218[Enabled],"Yes",Table1218[DMG])</f>
        <v>1</v>
      </c>
      <c r="I22" s="83">
        <f>SUMIF(Table1218[Enabled],"Yes",Table1218[Stamina])</f>
        <v>0</v>
      </c>
      <c r="J22" s="83">
        <f>SUMIF(Table1218[Enabled],"Yes",Table1218[Crit])</f>
        <v>1</v>
      </c>
      <c r="K22" s="83">
        <f>SUMIF(Table1218[Enabled],"Yes",Table1218[Crit DMG])</f>
        <v>0</v>
      </c>
      <c r="L22" s="83">
        <f>SUMIF(Table1218[Enabled],"Yes",Table1218[Splash])</f>
        <v>0</v>
      </c>
      <c r="M22" s="83">
        <f>SUMIF(Table1218[Enabled],"Yes",Table1218[Splash 
DMG])</f>
        <v>0</v>
      </c>
      <c r="N22" s="83">
        <f>SUMIF(Table1218[Enabled],"Yes",Table1218[Exprt.])</f>
        <v>0</v>
      </c>
      <c r="O22" s="83">
        <f>SUMIF(Table1218[Enabled],"Yes",Table1218[Mvmt.])</f>
        <v>0</v>
      </c>
      <c r="P22" s="83">
        <f>SUMIF(Table1218[Enabled],"Yes",Table1218[Extra 
Attack])</f>
        <v>1</v>
      </c>
      <c r="Q22" s="83">
        <f>SUMIF(Table1218[Enabled],"Yes",Table1218[Armor])</f>
        <v>0</v>
      </c>
      <c r="R22" s="83">
        <f>SUMIF(Table1218[Enabled],"Yes",Table1218[Aura])</f>
        <v>0</v>
      </c>
      <c r="S22" s="83">
        <f>SUMIF(Table1218[Enabled],"Yes",Table1218[Directed Strike])</f>
        <v>0</v>
      </c>
      <c r="T22" s="83">
        <f>SUMIF(Table1218[Enabled],"Yes",Table1218[AP])</f>
        <v>0</v>
      </c>
      <c r="U22" s="83">
        <f>SUMIF(Table1218[Enabled],"Yes",Table1218[INI2])</f>
        <v>0</v>
      </c>
      <c r="V22" s="25">
        <f>SUMIF(Table1218[Enabled],"Yes",Table1218[STR])</f>
        <v>10</v>
      </c>
      <c r="W22" s="83">
        <f>SUMIF(Table1218[Enabled],"Yes",Table1218[AGI])</f>
        <v>0</v>
      </c>
      <c r="X22" s="83">
        <f>SUMIF(Table1218[Enabled],"Yes",Table1218[INU])</f>
        <v>0</v>
      </c>
      <c r="Y22" s="83">
        <f>SUMIF(Table1218[Enabled],"Yes",Table1218[CHA])</f>
        <v>0</v>
      </c>
      <c r="Z22" s="83">
        <f>SUMIF(Table1218[Enabled],"Yes",Table1218[PER])</f>
        <v>0</v>
      </c>
      <c r="AA22" s="83"/>
    </row>
    <row r="24" spans="2:27" x14ac:dyDescent="0.25">
      <c r="C24" s="2"/>
      <c r="D24" s="2"/>
      <c r="E24" s="2"/>
      <c r="F24" s="2"/>
    </row>
    <row r="25" spans="2:27" x14ac:dyDescent="0.25">
      <c r="C25" s="2"/>
      <c r="D25" s="2"/>
      <c r="E25" s="2"/>
      <c r="F25" s="2"/>
    </row>
    <row r="26" spans="2:27" x14ac:dyDescent="0.25">
      <c r="C26" s="2"/>
      <c r="D26" s="2"/>
      <c r="E26" s="2"/>
      <c r="F26" s="2"/>
    </row>
    <row r="27" spans="2:27"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39"/>
  <sheetViews>
    <sheetView workbookViewId="0">
      <selection activeCell="G44" sqref="G44"/>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22</v>
      </c>
      <c r="B1" t="s">
        <v>164</v>
      </c>
      <c r="C1" t="s">
        <v>102</v>
      </c>
      <c r="D1" t="s">
        <v>58</v>
      </c>
      <c r="E1" t="s">
        <v>153</v>
      </c>
      <c r="F1" t="s">
        <v>52</v>
      </c>
      <c r="G1" t="s">
        <v>137</v>
      </c>
    </row>
    <row r="2" spans="1:7" ht="34" x14ac:dyDescent="0.2">
      <c r="A2" s="81" t="s">
        <v>227</v>
      </c>
      <c r="B2" s="81" t="s">
        <v>228</v>
      </c>
      <c r="C2" s="82">
        <v>1</v>
      </c>
      <c r="D2" s="82">
        <v>1</v>
      </c>
      <c r="E2" s="82" t="s">
        <v>29</v>
      </c>
      <c r="F2" s="82">
        <v>2</v>
      </c>
      <c r="G2" s="80" t="s">
        <v>231</v>
      </c>
    </row>
    <row r="3" spans="1:7" ht="17" x14ac:dyDescent="0.2">
      <c r="A3" s="81" t="s">
        <v>229</v>
      </c>
      <c r="B3" s="81" t="s">
        <v>228</v>
      </c>
      <c r="C3" s="82">
        <v>1</v>
      </c>
      <c r="D3" s="82">
        <v>1</v>
      </c>
      <c r="E3" s="82" t="s">
        <v>29</v>
      </c>
      <c r="F3" s="82">
        <v>2</v>
      </c>
      <c r="G3" s="80" t="s">
        <v>230</v>
      </c>
    </row>
    <row r="4" spans="1:7" ht="34" x14ac:dyDescent="0.2">
      <c r="A4" s="81" t="s">
        <v>233</v>
      </c>
      <c r="B4" s="81" t="s">
        <v>228</v>
      </c>
      <c r="C4" s="82">
        <v>1</v>
      </c>
      <c r="D4" s="82">
        <v>1</v>
      </c>
      <c r="E4" s="82" t="s">
        <v>29</v>
      </c>
      <c r="F4" s="82">
        <v>0</v>
      </c>
      <c r="G4" s="80" t="s">
        <v>234</v>
      </c>
    </row>
    <row r="5" spans="1:7" ht="17" x14ac:dyDescent="0.2">
      <c r="A5" s="81" t="s">
        <v>233</v>
      </c>
      <c r="B5" s="81" t="s">
        <v>228</v>
      </c>
      <c r="C5" s="82">
        <v>2</v>
      </c>
      <c r="D5" s="82">
        <v>2</v>
      </c>
      <c r="E5" s="82" t="s">
        <v>29</v>
      </c>
      <c r="F5" s="82">
        <v>3</v>
      </c>
      <c r="G5" s="80" t="s">
        <v>235</v>
      </c>
    </row>
    <row r="6" spans="1:7" ht="17" x14ac:dyDescent="0.2">
      <c r="A6" s="81" t="s">
        <v>233</v>
      </c>
      <c r="B6" s="81" t="s">
        <v>228</v>
      </c>
      <c r="C6" s="82">
        <v>3</v>
      </c>
      <c r="D6" s="82">
        <v>3</v>
      </c>
      <c r="E6" s="82" t="s">
        <v>29</v>
      </c>
      <c r="F6" s="82">
        <v>4</v>
      </c>
      <c r="G6" s="80" t="s">
        <v>236</v>
      </c>
    </row>
    <row r="7" spans="1:7" ht="17" x14ac:dyDescent="0.2">
      <c r="A7" s="81" t="s">
        <v>233</v>
      </c>
      <c r="B7" s="81" t="s">
        <v>228</v>
      </c>
      <c r="C7" s="82">
        <v>4</v>
      </c>
      <c r="D7" s="82">
        <v>5</v>
      </c>
      <c r="E7" s="82" t="s">
        <v>29</v>
      </c>
      <c r="F7" s="82">
        <v>5</v>
      </c>
      <c r="G7" s="80" t="s">
        <v>237</v>
      </c>
    </row>
    <row r="8" spans="1:7" ht="17" x14ac:dyDescent="0.2">
      <c r="A8" s="81" t="s">
        <v>238</v>
      </c>
      <c r="B8" s="81" t="s">
        <v>228</v>
      </c>
      <c r="C8" s="82">
        <v>1</v>
      </c>
      <c r="D8" s="82">
        <v>1</v>
      </c>
      <c r="E8" s="82" t="s">
        <v>29</v>
      </c>
      <c r="F8" s="82">
        <v>0</v>
      </c>
      <c r="G8" s="80" t="s">
        <v>239</v>
      </c>
    </row>
    <row r="9" spans="1:7" ht="17" x14ac:dyDescent="0.2">
      <c r="A9" s="81" t="s">
        <v>238</v>
      </c>
      <c r="B9" s="81" t="s">
        <v>228</v>
      </c>
      <c r="C9" s="82">
        <v>2</v>
      </c>
      <c r="D9" s="82">
        <v>3</v>
      </c>
      <c r="E9" s="82" t="s">
        <v>29</v>
      </c>
      <c r="F9" s="82">
        <v>3</v>
      </c>
      <c r="G9" s="80" t="s">
        <v>240</v>
      </c>
    </row>
    <row r="10" spans="1:7" ht="17" x14ac:dyDescent="0.2">
      <c r="A10" s="81" t="s">
        <v>238</v>
      </c>
      <c r="B10" s="81" t="s">
        <v>228</v>
      </c>
      <c r="C10" s="82">
        <v>3</v>
      </c>
      <c r="D10" s="82">
        <v>5</v>
      </c>
      <c r="E10" s="82" t="s">
        <v>29</v>
      </c>
      <c r="F10" s="82">
        <v>4</v>
      </c>
      <c r="G10" s="80" t="s">
        <v>241</v>
      </c>
    </row>
    <row r="11" spans="1:7" ht="17" x14ac:dyDescent="0.2">
      <c r="A11" s="81" t="s">
        <v>238</v>
      </c>
      <c r="B11" s="81" t="s">
        <v>228</v>
      </c>
      <c r="C11" s="82">
        <v>4</v>
      </c>
      <c r="D11" s="82">
        <v>7</v>
      </c>
      <c r="E11" s="82" t="s">
        <v>29</v>
      </c>
      <c r="F11" s="82">
        <v>5</v>
      </c>
      <c r="G11" s="80" t="s">
        <v>242</v>
      </c>
    </row>
    <row r="12" spans="1:7" ht="17" x14ac:dyDescent="0.2">
      <c r="A12" s="81" t="s">
        <v>238</v>
      </c>
      <c r="B12" s="81" t="s">
        <v>228</v>
      </c>
      <c r="C12" s="82">
        <v>5</v>
      </c>
      <c r="D12" s="82">
        <v>9</v>
      </c>
      <c r="E12" s="82" t="s">
        <v>29</v>
      </c>
      <c r="F12" s="82">
        <v>6</v>
      </c>
      <c r="G12" s="80" t="s">
        <v>243</v>
      </c>
    </row>
    <row r="13" spans="1:7" ht="17" x14ac:dyDescent="0.2">
      <c r="A13" s="81" t="s">
        <v>244</v>
      </c>
      <c r="B13" s="81" t="s">
        <v>228</v>
      </c>
      <c r="C13" s="82">
        <v>1</v>
      </c>
      <c r="D13" s="82">
        <v>1</v>
      </c>
      <c r="E13" s="82" t="s">
        <v>29</v>
      </c>
      <c r="F13" s="82">
        <v>2</v>
      </c>
      <c r="G13" s="80" t="s">
        <v>245</v>
      </c>
    </row>
    <row r="14" spans="1:7" ht="17" x14ac:dyDescent="0.2">
      <c r="A14" s="81" t="s">
        <v>244</v>
      </c>
      <c r="B14" s="81" t="s">
        <v>228</v>
      </c>
      <c r="C14" s="82">
        <v>2</v>
      </c>
      <c r="D14" s="82">
        <v>3</v>
      </c>
      <c r="E14" s="82" t="s">
        <v>29</v>
      </c>
      <c r="F14" s="82">
        <v>3</v>
      </c>
      <c r="G14" s="80" t="s">
        <v>246</v>
      </c>
    </row>
    <row r="15" spans="1:7" ht="17" x14ac:dyDescent="0.2">
      <c r="A15" s="81" t="s">
        <v>244</v>
      </c>
      <c r="B15" s="81" t="s">
        <v>228</v>
      </c>
      <c r="C15" s="82">
        <v>3</v>
      </c>
      <c r="D15" s="82">
        <v>4</v>
      </c>
      <c r="E15" s="82" t="s">
        <v>29</v>
      </c>
      <c r="F15" s="82">
        <v>4</v>
      </c>
      <c r="G15" s="80" t="s">
        <v>247</v>
      </c>
    </row>
    <row r="16" spans="1:7" ht="17" x14ac:dyDescent="0.2">
      <c r="A16" s="81" t="s">
        <v>244</v>
      </c>
      <c r="B16" s="81" t="s">
        <v>228</v>
      </c>
      <c r="C16" s="82">
        <v>4</v>
      </c>
      <c r="D16" s="82">
        <v>5</v>
      </c>
      <c r="E16" s="82" t="s">
        <v>29</v>
      </c>
      <c r="F16" s="82">
        <v>5</v>
      </c>
      <c r="G16" s="80" t="s">
        <v>248</v>
      </c>
    </row>
    <row r="17" spans="1:7" ht="17" x14ac:dyDescent="0.2">
      <c r="A17" s="81" t="s">
        <v>244</v>
      </c>
      <c r="B17" s="81" t="s">
        <v>228</v>
      </c>
      <c r="C17" s="82">
        <v>5</v>
      </c>
      <c r="D17" s="82">
        <v>8</v>
      </c>
      <c r="E17" s="82" t="s">
        <v>29</v>
      </c>
      <c r="F17" s="82">
        <v>6</v>
      </c>
      <c r="G17" s="80" t="s">
        <v>249</v>
      </c>
    </row>
    <row r="18" spans="1:7" ht="17" x14ac:dyDescent="0.2">
      <c r="A18" s="81" t="s">
        <v>250</v>
      </c>
      <c r="B18" s="81" t="s">
        <v>228</v>
      </c>
      <c r="C18" s="82">
        <v>1</v>
      </c>
      <c r="D18" s="82">
        <v>1</v>
      </c>
      <c r="E18" s="82" t="s">
        <v>29</v>
      </c>
      <c r="F18" s="82">
        <v>0</v>
      </c>
      <c r="G18" s="80" t="s">
        <v>251</v>
      </c>
    </row>
    <row r="19" spans="1:7" ht="17" x14ac:dyDescent="0.2">
      <c r="A19" s="81" t="s">
        <v>252</v>
      </c>
      <c r="B19" s="81" t="s">
        <v>228</v>
      </c>
      <c r="C19" s="82">
        <v>1</v>
      </c>
      <c r="D19" s="82">
        <v>1</v>
      </c>
      <c r="E19" s="82" t="s">
        <v>29</v>
      </c>
      <c r="F19" s="82">
        <v>0</v>
      </c>
      <c r="G19" s="80" t="s">
        <v>253</v>
      </c>
    </row>
    <row r="20" spans="1:7" ht="17" x14ac:dyDescent="0.2">
      <c r="A20" s="81" t="s">
        <v>252</v>
      </c>
      <c r="B20" s="81" t="s">
        <v>228</v>
      </c>
      <c r="C20" s="82">
        <v>2</v>
      </c>
      <c r="D20" s="82">
        <v>3</v>
      </c>
      <c r="E20" s="82" t="s">
        <v>29</v>
      </c>
      <c r="F20" s="82">
        <v>3</v>
      </c>
      <c r="G20" s="80" t="s">
        <v>254</v>
      </c>
    </row>
    <row r="21" spans="1:7" ht="17" x14ac:dyDescent="0.2">
      <c r="A21" s="81" t="s">
        <v>252</v>
      </c>
      <c r="B21" s="81" t="s">
        <v>228</v>
      </c>
      <c r="C21" s="82">
        <v>3</v>
      </c>
      <c r="D21" s="82">
        <v>4</v>
      </c>
      <c r="E21" s="82" t="s">
        <v>29</v>
      </c>
      <c r="F21" s="82">
        <v>4</v>
      </c>
      <c r="G21" s="80" t="s">
        <v>255</v>
      </c>
    </row>
    <row r="22" spans="1:7" ht="17" x14ac:dyDescent="0.2">
      <c r="A22" s="81" t="s">
        <v>252</v>
      </c>
      <c r="B22" s="81" t="s">
        <v>228</v>
      </c>
      <c r="C22" s="82">
        <v>4</v>
      </c>
      <c r="D22" s="82">
        <v>7</v>
      </c>
      <c r="E22" s="82" t="s">
        <v>29</v>
      </c>
      <c r="F22" s="82">
        <v>5</v>
      </c>
      <c r="G22" s="80" t="s">
        <v>256</v>
      </c>
    </row>
    <row r="23" spans="1:7" ht="17" x14ac:dyDescent="0.2">
      <c r="A23" s="81" t="s">
        <v>252</v>
      </c>
      <c r="B23" s="81" t="s">
        <v>228</v>
      </c>
      <c r="C23" s="82">
        <v>5</v>
      </c>
      <c r="D23" s="82">
        <v>9</v>
      </c>
      <c r="E23" s="82" t="s">
        <v>29</v>
      </c>
      <c r="F23" s="82">
        <v>6</v>
      </c>
      <c r="G23" s="80" t="s">
        <v>257</v>
      </c>
    </row>
    <row r="24" spans="1:7" ht="17" x14ac:dyDescent="0.2">
      <c r="A24" s="81" t="s">
        <v>258</v>
      </c>
      <c r="B24" s="81" t="s">
        <v>228</v>
      </c>
      <c r="C24" s="82">
        <v>1</v>
      </c>
      <c r="D24" s="82">
        <v>1</v>
      </c>
      <c r="E24" s="82" t="s">
        <v>29</v>
      </c>
      <c r="F24" s="82">
        <v>2</v>
      </c>
      <c r="G24" s="80" t="s">
        <v>259</v>
      </c>
    </row>
    <row r="25" spans="1:7" ht="17" x14ac:dyDescent="0.2">
      <c r="A25" s="81" t="s">
        <v>258</v>
      </c>
      <c r="B25" s="81" t="s">
        <v>228</v>
      </c>
      <c r="C25" s="82">
        <v>2</v>
      </c>
      <c r="D25" s="82">
        <v>5</v>
      </c>
      <c r="E25" s="82" t="s">
        <v>29</v>
      </c>
      <c r="F25" s="82">
        <v>3</v>
      </c>
      <c r="G25" s="80" t="s">
        <v>260</v>
      </c>
    </row>
    <row r="26" spans="1:7" ht="17" x14ac:dyDescent="0.2">
      <c r="A26" s="81" t="s">
        <v>258</v>
      </c>
      <c r="B26" s="81" t="s">
        <v>228</v>
      </c>
      <c r="C26" s="82">
        <v>3</v>
      </c>
      <c r="D26" s="82">
        <v>10</v>
      </c>
      <c r="E26" s="82" t="s">
        <v>29</v>
      </c>
      <c r="F26" s="82">
        <v>4</v>
      </c>
      <c r="G26" s="80" t="s">
        <v>261</v>
      </c>
    </row>
    <row r="27" spans="1:7" ht="17" x14ac:dyDescent="0.2">
      <c r="A27" s="81" t="s">
        <v>262</v>
      </c>
      <c r="B27" s="81" t="s">
        <v>228</v>
      </c>
      <c r="C27" s="82">
        <v>1</v>
      </c>
      <c r="D27" s="82">
        <v>1</v>
      </c>
      <c r="E27" s="82" t="s">
        <v>29</v>
      </c>
      <c r="F27" s="82">
        <v>0</v>
      </c>
      <c r="G27" s="80" t="s">
        <v>263</v>
      </c>
    </row>
    <row r="28" spans="1:7" ht="17" x14ac:dyDescent="0.2">
      <c r="A28" s="81" t="s">
        <v>262</v>
      </c>
      <c r="B28" s="81" t="s">
        <v>228</v>
      </c>
      <c r="C28" s="82">
        <v>2</v>
      </c>
      <c r="D28" s="82">
        <v>3</v>
      </c>
      <c r="E28" s="82" t="s">
        <v>29</v>
      </c>
      <c r="F28" s="82">
        <v>3</v>
      </c>
      <c r="G28" s="80" t="s">
        <v>264</v>
      </c>
    </row>
    <row r="29" spans="1:7" ht="17" x14ac:dyDescent="0.2">
      <c r="A29" s="81" t="s">
        <v>262</v>
      </c>
      <c r="B29" s="81" t="s">
        <v>228</v>
      </c>
      <c r="C29" s="82">
        <v>3</v>
      </c>
      <c r="D29" s="82">
        <v>5</v>
      </c>
      <c r="E29" s="82" t="s">
        <v>29</v>
      </c>
      <c r="F29" s="82">
        <v>4</v>
      </c>
      <c r="G29" s="80" t="s">
        <v>265</v>
      </c>
    </row>
    <row r="30" spans="1:7" ht="17" x14ac:dyDescent="0.2">
      <c r="A30" s="81" t="s">
        <v>262</v>
      </c>
      <c r="B30" s="81" t="s">
        <v>228</v>
      </c>
      <c r="C30" s="82">
        <v>4</v>
      </c>
      <c r="D30" s="82">
        <v>8</v>
      </c>
      <c r="E30" s="82" t="s">
        <v>29</v>
      </c>
      <c r="F30" s="82">
        <v>5</v>
      </c>
      <c r="G30" s="80" t="s">
        <v>266</v>
      </c>
    </row>
    <row r="31" spans="1:7" ht="17" x14ac:dyDescent="0.2">
      <c r="A31" s="81" t="s">
        <v>267</v>
      </c>
      <c r="B31" s="81" t="s">
        <v>228</v>
      </c>
      <c r="C31" s="82">
        <v>1</v>
      </c>
      <c r="D31" s="82">
        <v>1</v>
      </c>
      <c r="E31" s="82" t="s">
        <v>29</v>
      </c>
      <c r="F31" s="82">
        <v>2</v>
      </c>
      <c r="G31" s="80" t="s">
        <v>268</v>
      </c>
    </row>
    <row r="32" spans="1:7" ht="17" x14ac:dyDescent="0.2">
      <c r="A32" s="81" t="s">
        <v>269</v>
      </c>
      <c r="B32" s="81" t="s">
        <v>228</v>
      </c>
      <c r="C32" s="82">
        <v>1</v>
      </c>
      <c r="D32" s="82">
        <v>3</v>
      </c>
      <c r="E32" s="82" t="s">
        <v>29</v>
      </c>
      <c r="F32" s="82">
        <v>3</v>
      </c>
      <c r="G32" s="80" t="s">
        <v>270</v>
      </c>
    </row>
    <row r="33" spans="1:7" ht="17" x14ac:dyDescent="0.2">
      <c r="A33" s="81" t="s">
        <v>271</v>
      </c>
      <c r="B33" s="81" t="s">
        <v>228</v>
      </c>
      <c r="C33" s="82">
        <v>1</v>
      </c>
      <c r="D33" s="82">
        <v>1</v>
      </c>
      <c r="E33" s="82" t="s">
        <v>29</v>
      </c>
      <c r="F33" s="82">
        <v>3</v>
      </c>
      <c r="G33" s="80" t="s">
        <v>272</v>
      </c>
    </row>
    <row r="34" spans="1:7" ht="17" x14ac:dyDescent="0.2">
      <c r="A34" s="81" t="s">
        <v>273</v>
      </c>
      <c r="B34" s="81" t="s">
        <v>228</v>
      </c>
      <c r="C34" s="82">
        <v>1</v>
      </c>
      <c r="D34" s="82">
        <v>1</v>
      </c>
      <c r="E34" s="82" t="s">
        <v>29</v>
      </c>
      <c r="F34" s="82">
        <v>2</v>
      </c>
      <c r="G34" s="80" t="s">
        <v>274</v>
      </c>
    </row>
    <row r="35" spans="1:7" ht="17" x14ac:dyDescent="0.2">
      <c r="A35" s="81" t="s">
        <v>273</v>
      </c>
      <c r="B35" s="81" t="s">
        <v>228</v>
      </c>
      <c r="C35" s="82">
        <v>2</v>
      </c>
      <c r="D35" s="82">
        <v>3</v>
      </c>
      <c r="E35" s="82" t="s">
        <v>29</v>
      </c>
      <c r="F35" s="82">
        <v>3</v>
      </c>
      <c r="G35" s="80" t="s">
        <v>275</v>
      </c>
    </row>
    <row r="36" spans="1:7" ht="17" x14ac:dyDescent="0.2">
      <c r="A36" s="81" t="s">
        <v>273</v>
      </c>
      <c r="B36" s="81" t="s">
        <v>228</v>
      </c>
      <c r="C36" s="82">
        <v>3</v>
      </c>
      <c r="D36" s="82">
        <v>5</v>
      </c>
      <c r="E36" s="82" t="s">
        <v>29</v>
      </c>
      <c r="F36" s="82">
        <v>4</v>
      </c>
      <c r="G36" s="80" t="s">
        <v>276</v>
      </c>
    </row>
    <row r="37" spans="1:7" ht="17" x14ac:dyDescent="0.2">
      <c r="A37" s="81" t="s">
        <v>273</v>
      </c>
      <c r="B37" s="81" t="s">
        <v>228</v>
      </c>
      <c r="C37" s="82">
        <v>4</v>
      </c>
      <c r="D37" s="82">
        <v>7</v>
      </c>
      <c r="E37" s="82" t="s">
        <v>29</v>
      </c>
      <c r="F37" s="82">
        <v>5</v>
      </c>
      <c r="G37" s="80" t="s">
        <v>277</v>
      </c>
    </row>
    <row r="38" spans="1:7" ht="17" x14ac:dyDescent="0.2">
      <c r="A38" s="81" t="s">
        <v>273</v>
      </c>
      <c r="B38" s="81" t="s">
        <v>228</v>
      </c>
      <c r="C38" s="82">
        <v>5</v>
      </c>
      <c r="D38" s="82">
        <v>10</v>
      </c>
      <c r="E38" s="82" t="s">
        <v>29</v>
      </c>
      <c r="F38" s="82">
        <v>6</v>
      </c>
      <c r="G38" s="80" t="s">
        <v>278</v>
      </c>
    </row>
    <row r="39" spans="1:7" x14ac:dyDescent="0.2">
      <c r="A39" t="s">
        <v>49</v>
      </c>
      <c r="F39" s="8">
        <f>SUMIF(Table18[Enabled],"=Yes",Table18[XP])</f>
        <v>0</v>
      </c>
    </row>
  </sheetData>
  <dataValidations count="1">
    <dataValidation type="list" allowBlank="1" showInputMessage="1" showErrorMessage="1" sqref="E2:E38" xr:uid="{E8C9D7AD-266C-9B4A-A9DE-97925B62F343}">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153</vt:i4>
      </vt:variant>
    </vt:vector>
  </HeadingPairs>
  <TitlesOfParts>
    <vt:vector size="166"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FEAT_XP</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WEAPON_AP</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2018-12-27T07:32:28Z</cp:lastPrinted>
  <dcterms:created xsi:type="dcterms:W3CDTF">2018-12-15T09:53:02Z</dcterms:created>
  <dcterms:modified xsi:type="dcterms:W3CDTF">2019-01-01T14:30:29Z</dcterms:modified>
</cp:coreProperties>
</file>