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8964F263-7DA8-EF43-9CD0-84CDC7A06275}"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Table217[[#Headers],[#Data]]</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40" i="1" l="1"/>
  <c r="AE39" i="1"/>
  <c r="AE38" i="1"/>
  <c r="AE37" i="1"/>
  <c r="AE36" i="1"/>
  <c r="K11" i="12"/>
  <c r="K2" i="12"/>
  <c r="K3" i="12"/>
  <c r="K10" i="12"/>
  <c r="K9" i="12"/>
  <c r="K8" i="12"/>
  <c r="K7" i="12"/>
  <c r="K6" i="12"/>
  <c r="K5" i="12"/>
  <c r="K4" i="12"/>
  <c r="F35" i="2" l="1"/>
  <c r="T22" i="13" l="1"/>
  <c r="C15" i="8" s="1"/>
  <c r="J22" i="13"/>
  <c r="U22" i="13"/>
  <c r="C14" i="8" s="1"/>
  <c r="F85"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5" i="4"/>
  <c r="O6" i="4"/>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5" i="2"/>
  <c r="H6" i="2"/>
  <c r="H7"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10" i="8" l="1"/>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16" i="12"/>
  <c r="K28" i="2"/>
  <c r="N39" i="1" s="1"/>
  <c r="K29" i="2"/>
  <c r="Y34" i="1"/>
  <c r="B17" i="12"/>
  <c r="L7" i="5" s="1"/>
  <c r="Y38" i="1"/>
  <c r="Y30" i="1"/>
  <c r="Y35" i="1"/>
  <c r="K13" i="12"/>
  <c r="Y36" i="1"/>
  <c r="K14" i="12"/>
  <c r="Y33" i="1"/>
  <c r="Y39" i="1"/>
  <c r="Y31" i="1"/>
  <c r="K12" i="12"/>
  <c r="Y37" i="1"/>
  <c r="K15" i="12"/>
  <c r="K27" i="2"/>
  <c r="N38" i="1" s="1"/>
  <c r="Y32" i="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F4" i="4"/>
  <c r="O4" i="4" s="1"/>
  <c r="F6" i="4"/>
  <c r="F2" i="4"/>
  <c r="Y13" i="1" l="1"/>
  <c r="K14" i="8"/>
  <c r="AL9" i="1" s="1"/>
  <c r="F14" i="8"/>
  <c r="J14" i="8" s="1"/>
  <c r="N3" i="4"/>
  <c r="H4" i="2" s="1"/>
  <c r="C19" i="1"/>
  <c r="N4" i="4"/>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G9" i="2"/>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H8" i="2" l="1"/>
  <c r="K8" i="2" s="1"/>
  <c r="N19" i="1" s="1"/>
  <c r="H9" i="2"/>
  <c r="K9" i="2" s="1"/>
  <c r="N20" i="1" s="1"/>
  <c r="K4" i="2"/>
  <c r="N15" i="1" s="1"/>
  <c r="AA3" i="13"/>
  <c r="AE16" i="1" s="1"/>
  <c r="O7" i="5"/>
  <c r="K9" i="5" s="1"/>
  <c r="B23" i="1"/>
  <c r="B16" i="1"/>
  <c r="B9" i="1"/>
  <c r="I2" i="2"/>
  <c r="AS2" i="1"/>
  <c r="Y25" i="1"/>
  <c r="E11" i="5"/>
  <c r="D7" i="5"/>
  <c r="J3" i="8" s="1"/>
  <c r="K3" i="8" s="1"/>
  <c r="Y14" i="1" s="1"/>
  <c r="B6" i="5"/>
  <c r="W9" i="1" s="1"/>
  <c r="B11" i="5" l="1"/>
  <c r="J2" i="2"/>
  <c r="K2" i="2" s="1"/>
  <c r="N13" i="1" s="1"/>
  <c r="O2" i="4"/>
  <c r="F7" i="5"/>
  <c r="B8" i="5"/>
  <c r="AB9" i="1" s="1"/>
  <c r="B7" i="5" l="1"/>
  <c r="H9" i="1" s="1"/>
  <c r="AG9" i="1"/>
</calcChain>
</file>

<file path=xl/sharedStrings.xml><?xml version="1.0" encoding="utf-8"?>
<sst xmlns="http://schemas.openxmlformats.org/spreadsheetml/2006/main" count="1041" uniqueCount="347">
  <si>
    <t>Weapon Skill</t>
  </si>
  <si>
    <t>Unarmed Skill</t>
  </si>
  <si>
    <t>Ballistic Skill</t>
  </si>
  <si>
    <t>Tactics</t>
  </si>
  <si>
    <t>Magic Skill</t>
  </si>
  <si>
    <t>History</t>
  </si>
  <si>
    <t>Animal Handler</t>
  </si>
  <si>
    <t>Insight</t>
  </si>
  <si>
    <t>Slight of Hand</t>
  </si>
  <si>
    <t>Deception</t>
  </si>
  <si>
    <t>Charm</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</si>
  <si>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</si>
  <si>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</si>
  <si>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</si>
  <si>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</si>
  <si>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</si>
  <si>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</si>
  <si>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</si>
  <si>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</si>
  <si>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</si>
  <si>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</si>
  <si>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</si>
  <si>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</si>
  <si>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</si>
  <si>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</si>
  <si>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</si>
  <si>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</si>
  <si>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</si>
  <si>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</si>
  <si>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</si>
  <si>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</si>
  <si>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</si>
  <si>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</si>
  <si>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</si>
  <si>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</si>
  <si>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</si>
  <si>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</si>
  <si>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</si>
  <si>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</si>
  <si>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</si>
  <si>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</si>
  <si>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</si>
  <si>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</si>
  <si>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</si>
  <si>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</si>
  <si>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</si>
  <si>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</si>
  <si>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</si>
  <si>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</si>
  <si>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</si>
  <si>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</si>
  <si>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</si>
  <si>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</si>
  <si>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</si>
  <si>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</si>
  <si>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</si>
  <si>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</si>
  <si>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</si>
  <si>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</si>
  <si>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</si>
  <si>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</si>
  <si>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</si>
  <si>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</si>
  <si>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</si>
  <si>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</si>
  <si>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</si>
  <si>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</si>
  <si>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</si>
  <si>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</si>
  <si>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</si>
  <si>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</si>
  <si>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</si>
  <si>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</si>
  <si>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</si>
  <si>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</si>
  <si>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</si>
  <si>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</si>
  <si>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</si>
  <si>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</si>
  <si>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</si>
  <si>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</si>
  <si>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</si>
  <si>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</si>
  <si>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</si>
  <si>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</si>
  <si>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</si>
  <si>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</si>
  <si>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</si>
  <si>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</si>
  <si>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</si>
  <si>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</si>
  <si>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</si>
  <si>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</si>
  <si>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</si>
  <si>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</si>
  <si>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</si>
  <si>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</si>
  <si>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</si>
  <si>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</si>
  <si>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</si>
  <si>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</si>
  <si>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</si>
  <si>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</si>
  <si>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</si>
  <si>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</si>
  <si>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</si>
  <si>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</si>
  <si>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</si>
  <si>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</si>
  <si>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</si>
  <si>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</si>
  <si>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</si>
  <si>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</si>
  <si>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</si>
  <si>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</si>
  <si>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</si>
  <si>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</si>
  <si>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</si>
  <si>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</si>
  <si>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</si>
  <si>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</si>
  <si>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</si>
  <si>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</si>
  <si>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</si>
  <si>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</si>
  <si>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</si>
  <si>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</si>
  <si>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</si>
  <si>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</si>
  <si>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</si>
  <si>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</si>
  <si>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</si>
  <si>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</si>
  <si>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</si>
  <si>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</si>
  <si>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</si>
  <si>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</si>
  <si>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</si>
  <si>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</si>
  <si>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</si>
  <si>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</si>
  <si>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</si>
  <si>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</si>
  <si>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</si>
  <si>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</si>
  <si>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</si>
  <si>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</si>
  <si>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</si>
  <si>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</si>
  <si>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</si>
  <si>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</si>
  <si>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</si>
  <si>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</si>
  <si>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</si>
  <si>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</si>
  <si>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</si>
  <si>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</si>
  <si>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</si>
  <si>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</si>
  <si>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</si>
  <si>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</si>
  <si>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</si>
  <si>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</si>
  <si>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</si>
  <si>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</si>
  <si>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</si>
  <si>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</si>
  <si>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</si>
  <si>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</si>
  <si>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</si>
  <si>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</si>
  <si>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</si>
  <si>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</si>
  <si>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</si>
  <si>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</si>
  <si>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</si>
  <si>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</si>
  <si>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</si>
  <si>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</si>
  <si>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</si>
  <si>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</si>
  <si>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</si>
  <si>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</si>
  <si>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</si>
  <si>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</si>
  <si>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</si>
  <si>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</si>
  <si>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</si>
  <si>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</si>
  <si>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</si>
  <si>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</si>
  <si>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</si>
  <si>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</si>
  <si>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</si>
  <si>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</si>
  <si>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</si>
  <si>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</si>
  <si>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</si>
  <si>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</si>
  <si>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</si>
  <si>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</si>
  <si>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</si>
  <si>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</si>
  <si>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</si>
  <si>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</si>
  <si>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</si>
  <si>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</si>
  <si>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</si>
  <si>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</si>
  <si>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</si>
  <si>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</si>
  <si>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</si>
  <si>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</si>
  <si>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</si>
  <si>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</si>
  <si>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</si>
  <si>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</si>
  <si>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Source</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</si>
  <si>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</si>
  <si>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</si>
  <si>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</si>
  <si>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</si>
  <si>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</si>
  <si>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</si>
  <si>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</si>
  <si>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</si>
  <si>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</si>
  <si>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</si>
  <si>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</si>
  <si>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</si>
  <si>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</si>
  <si>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</si>
  <si>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</si>
  <si>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</si>
  <si>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</si>
  <si>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</si>
  <si>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</si>
  <si>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</si>
  <si>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</si>
  <si>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</si>
  <si>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</si>
  <si>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</si>
  <si>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</si>
  <si>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</si>
  <si>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</si>
  <si>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</si>
  <si>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</si>
  <si>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</si>
  <si>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</si>
  <si>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</si>
  <si>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</si>
  <si>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</si>
  <si>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</si>
  <si>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</si>
  <si>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</si>
  <si>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</si>
  <si>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</si>
  <si>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</si>
  <si>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</si>
  <si>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</si>
  <si>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</si>
  <si>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</si>
  <si>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</si>
  <si>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</si>
  <si>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Dice - Constant - Statistic - Feat DMG</t>
  </si>
  <si>
    <t>Stone Skin</t>
  </si>
  <si>
    <t>Earth</t>
  </si>
  <si>
    <t>Increase armor by 1 for 5 rounds, can cast on 1 person</t>
  </si>
  <si>
    <t>Increase armor by 2 for 5 rounds, can be cast on 2 people</t>
  </si>
  <si>
    <t>Increase armor by 5 for 5 rounds, can be cast on 3 people</t>
  </si>
  <si>
    <t>Increase armor by 10 for 5 rounds, can be cast on 4 people</t>
  </si>
  <si>
    <t>Increase armor by 15 for 5 rounds, can be cast on 5 people</t>
  </si>
  <si>
    <t>Strength of the Earth</t>
  </si>
  <si>
    <t>Increase STR by 1, +1 DMG for 5 rounds, can be cast on 1 person</t>
  </si>
  <si>
    <t>Increase STR by 2, +2 DMG for 5 rounds, can be cast on 2 person</t>
  </si>
  <si>
    <t>Increase STR by 3, +3 DMG for 5 rounds, can be cast on 3 person</t>
  </si>
  <si>
    <t>Increase STR by 4, +4 DMG for 5 rounds, can be cast on 4 person</t>
  </si>
  <si>
    <t>Increase STR by 5, +5 DMG for 5 rounds, can be cast on 5 person</t>
  </si>
  <si>
    <t>Heavy Handed</t>
  </si>
  <si>
    <t>Weapon is heavier, doing 1d4 extra DMG to the target. Cannot be cast on fists.</t>
  </si>
  <si>
    <t>Weapon is heavier, doing 2d4 extra DMG to the target. Cannot be cast on fists.</t>
  </si>
  <si>
    <t>Weapon is heavier, doing 3d4 extra DMG to the target. Cannot be cast on fists.</t>
  </si>
  <si>
    <t>Weapon is heavier, doing 4d4 extra DMG to the target. Cannot be cast on fists.</t>
  </si>
  <si>
    <t>Weapon is heavier, doing 5d4 extra DMG to the target. Cannot be cast on fists.</t>
  </si>
  <si>
    <t>Sink</t>
  </si>
  <si>
    <t>Reduce movement of the target by 5</t>
  </si>
  <si>
    <t>Reduce movement of the target by 10</t>
  </si>
  <si>
    <t>Reduce movement of the target by 15</t>
  </si>
  <si>
    <t>Reduce movement of the target by 20, dealing 10 DMG per round while the target is in the sink hole</t>
  </si>
  <si>
    <t>Reduce movement of the target by 25, dealing 15 DMG per round while the target is in the sink hole.</t>
  </si>
  <si>
    <t>Summon Earth Elemental</t>
  </si>
  <si>
    <t>Summon an Earth elemental with 30 HP and 5 armor to fight with you. Taunts one target per round and does 1d6 DMG. Can only have one Earth Elemental summoned at the same time. Or two lower level earth elementals.</t>
  </si>
  <si>
    <t>Summon an Earth elemental with 45 HP and 7 armor to fight with you. Taunts one target per round and does 1d8 DMG. Can only have one Earth Elemental summoned at the same time. Or 2 lvl 2 earth elementals or 3 lvl 1 earth elementals.</t>
  </si>
  <si>
    <t>Summon an Earth elemental with 70 HP and 10 armor to fight with you. Taunts one target per round and does 1d10 DMG. Can only have one Earth Elemental summoned at the same time. Or 2 rank 3, 3 rank 2 or 4 rank 1 elementals.</t>
  </si>
  <si>
    <t>Summon an Earth elemental with 100 HP and 15 armor to fight with you. Taunts one target per round and does 1d12 DMG. Can only have one Earth Elemental summoned at the same time. Or 2 rank 4 or 3 rank 3 or 4 rank 2 or 5 rank 1.</t>
  </si>
  <si>
    <t>Slow to Anger</t>
  </si>
  <si>
    <t>Listen to the Earth</t>
  </si>
  <si>
    <t>You can put your ear to the earth and listen for troop movements and those kinds of things. You will not hear a single human walking. 1km radius</t>
  </si>
  <si>
    <t>You can put your ear to the earth and listen for troop movements and those kinds of things. You will not hear a single human walking. 2km radius</t>
  </si>
  <si>
    <t>You can put your ear to the earth and listen for troop movements and those kinds of things. You will not hear a single human walking. 3km radius</t>
  </si>
  <si>
    <t>You can put your ear to the earth and listen for troop movements and those kinds of things. You will not hear a single human walking. 5km radius</t>
  </si>
  <si>
    <t>You can put your ear to the earth and listen for troop movements and those kinds of things. You will not hear a single human walking. 10km radius</t>
  </si>
  <si>
    <t>Earth Quake</t>
  </si>
  <si>
    <t>You can center a small earth quake around you, DC 12 AGI save or targets fall to the ground and does 1d4 DMG to everyone in the quake. 30ft radius. Costs 3 AP and all of your initiative.</t>
  </si>
  <si>
    <t>You can center a small earth quake around you, DC 14 AGI save and does 2d6 DMG to everyone in the quake. 40ft radius</t>
  </si>
  <si>
    <t>You can center a small earth quake around you, DC 18 AGI save and does 2d10 DMG to everyone in the quake. 50ft radius</t>
  </si>
  <si>
    <t>You can center a small earth quake around you, DC 20 AGI save and does 3d12 DMG to everyone in the quake. 60ft radius</t>
  </si>
  <si>
    <t>You can center a small earth quake around you, DC 25 AGI save and does 4d12 DMG to everyone in the quake. 100ft radius</t>
  </si>
  <si>
    <t>Destroy Armor</t>
  </si>
  <si>
    <t>Lower the target's armor by 2</t>
  </si>
  <si>
    <t>Lower the target's armor by 3</t>
  </si>
  <si>
    <t>Lower the target's armor by 4</t>
  </si>
  <si>
    <t>Lower the target's armor by 5</t>
  </si>
  <si>
    <t>Lower the target's armor by 1 per AP</t>
  </si>
  <si>
    <t>Shatter Stone</t>
  </si>
  <si>
    <t>You can shatter 5 kg of stone per round</t>
  </si>
  <si>
    <t>You can shatter 10 kg of stone per round</t>
  </si>
  <si>
    <t>You can shatter 15 kg of stone per round</t>
  </si>
  <si>
    <t>You can shatter 20 kg of stone per round</t>
  </si>
  <si>
    <t>You can shatter 25 kg of stone per round</t>
  </si>
  <si>
    <t>Knockback's cone goes to 120 deg resist with STR or Arcane DC 16</t>
  </si>
  <si>
    <t>Knockback's cone goes to 180 deg resist with STR or Arcane DC 18</t>
  </si>
  <si>
    <t>Knockback in an full circle around the caster. Resist with STR or Arcane DC 21.</t>
  </si>
  <si>
    <t>Per AP 3 Initiative</t>
  </si>
  <si>
    <t>Per AP 5 Initiative</t>
  </si>
  <si>
    <t>Per AP 7 Initiative</t>
  </si>
  <si>
    <t xml:space="preserve">* Lucky: At the start of the combat you roll 2 d10 dice. During </t>
  </si>
  <si>
    <t xml:space="preserve">the combat you can substitute any roll made </t>
  </si>
  <si>
    <t>* Fortified: +1 Stamina and +1 Armor</t>
  </si>
  <si>
    <t>Summon an Earth elemental with 20 HP and 3 armor to fight with you. Taunts one target per round and does 1d4 DMG. Can only have one Earth Elemental summoned at the same time. Costs 3 AP to summon and all of the Initiative in that round. Casting requirements count for every other rank as well.</t>
  </si>
  <si>
    <t>After the elemental dies the taunt falls to you and you will be attacked instead of the earth elemental. You can share the DMG your elemental gets. You get 50% and the elemental gets 50%.</t>
  </si>
  <si>
    <t xml:space="preserve">Summon an Earth elemental with 20 HP and 3 armor to fight with you. Taunts one target per round and does 1d4 DMG. Can only have </t>
  </si>
  <si>
    <t xml:space="preserve">one Earth Elemental summoned at the same time. Costs 3 AP to summon and all of the Initiative in that round. Casting requirements </t>
  </si>
  <si>
    <t>count for every other rank as well.</t>
  </si>
  <si>
    <t xml:space="preserve">Summon an Earth elemental with 30 HP and 5 armor to fight with you. Taunts one target per round and does 1d6 DMG. Can only </t>
  </si>
  <si>
    <t>have one Earth Elemental summoned at the same time. Or two lower level earth elementals.</t>
  </si>
  <si>
    <t>Summon an Earth elemental with 45 HP and 7 armor to fight with you. Taunts one target per round and does 1d8 DMG. Can</t>
  </si>
  <si>
    <t xml:space="preserve"> only have one Earth Elemental summoned at the same time. Or 2 lvl 2 earth elementals or 3 lvl 1 earth elementals.</t>
  </si>
  <si>
    <t xml:space="preserve">After the elemental dies the taunt falls to you and you will be attacked instead of the earth elemental. You can share the DMG your </t>
  </si>
  <si>
    <t>elemental gets. You get 50% and the elemental gets 50%.</t>
  </si>
  <si>
    <t>You can center a small earth quake around you, DC 12 AGI save or targets fall to the ground and does 1d4 DMG to everyone in the quake.</t>
  </si>
  <si>
    <t xml:space="preserve"> 30ft radius. Costs 3 AP and all of your initiative.</t>
  </si>
  <si>
    <t>* Resistant: +3 to all resistance checks</t>
  </si>
  <si>
    <t>Stat Rolls</t>
  </si>
  <si>
    <t>Earl-th</t>
  </si>
  <si>
    <t>Wilderness Surv.</t>
  </si>
  <si>
    <t>Haggle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</si>
</sst>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7">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10" fillId="0" borderId="0" xfId="0" applyNumberFormat="1" applyFont="1" applyBorder="1" applyAlignment="1">
      <alignment vertic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vertical="center" wrapText="1"/>
    </xf>
    <xf numFmtId="0" fontId="10" fillId="0" borderId="0" xfId="0" applyFont="1" applyAlignment="1">
      <alignment horizontal="center" vertical="center"/>
    </xf>
    <xf numFmtId="0" fontId="1" fillId="0" borderId="0" xfId="0" applyFont="1" applyAlignment="1">
      <alignment horizontal="center"/>
    </xf>
    <xf numFmtId="49" fontId="10" fillId="0" borderId="30" xfId="0" applyNumberFormat="1" applyFont="1" applyBorder="1" applyAlignment="1">
      <alignment vertical="center"/>
    </xf>
    <xf numFmtId="49" fontId="10" fillId="0" borderId="31" xfId="0" applyNumberFormat="1" applyFont="1" applyBorder="1" applyAlignment="1">
      <alignment vertical="center"/>
    </xf>
    <xf numFmtId="0" fontId="0" fillId="0" borderId="0" xfId="0" applyAlignment="1">
      <alignment vertical="center" wrapText="1"/>
    </xf>
    <xf numFmtId="0" fontId="10" fillId="0" borderId="0" xfId="0" applyFont="1"/>
    <xf numFmtId="0" fontId="4" fillId="0" borderId="0" xfId="0" applyFont="1" applyBorder="1" applyAlignment="1">
      <alignment horizontal="left" vertical="center"/>
    </xf>
    <xf numFmtId="0" fontId="4" fillId="0" borderId="32" xfId="0" applyFont="1" applyBorder="1" applyAlignment="1">
      <alignment horizontal="left" vertical="center"/>
    </xf>
    <xf numFmtId="0" fontId="10" fillId="0" borderId="0" xfId="0" applyFont="1" applyBorder="1" applyAlignment="1">
      <alignment horizontal="left" wrapText="1"/>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9" fillId="0" borderId="0" xfId="0" applyFont="1" applyAlignment="1">
      <alignment horizontal="left"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center" vertical="top"/>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293"/>
    <tableColumn id="2" xr3:uid="{D703D096-B658-604D-BDCC-2B29BF766859}" name="XP" totalsRowFunction="sum" dataDxfId="292" totalsRowDxfId="291"/>
    <tableColumn id="3" xr3:uid="{BE38B662-73B8-B246-A576-1733D777406D}" name="Description" dataDxfId="290" totalsRowDxfId="28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62" dataDxfId="61">
  <autoFilter ref="A1:R58" xr:uid="{BA70A05F-D1C9-EC47-8CA4-A9B304C93060}"/>
  <tableColumns count="18">
    <tableColumn id="1" xr3:uid="{98665492-075C-D44B-8EDA-A52F37F4C96E}" name="Name" dataDxfId="60"/>
    <tableColumn id="2" xr3:uid="{73639F93-F9BF-204E-AEC8-CAA30EB8D6B5}" name="STR" dataDxfId="59"/>
    <tableColumn id="3" xr3:uid="{6B9E0521-C50E-264F-9593-C1F9E4D23715}" name="AGI" dataDxfId="58"/>
    <tableColumn id="4" xr3:uid="{44939BD3-1FFC-3E45-994F-37661A933E0C}" name="INU" dataDxfId="57"/>
    <tableColumn id="18" xr3:uid="{556D51F8-4C69-4644-B0FC-A64BD79C53F2}" name="CHA" dataDxfId="56"/>
    <tableColumn id="5" xr3:uid="{5BFA8BB0-66CB-0546-8525-FCA528C6BD63}" name="PER" dataDxfId="55"/>
    <tableColumn id="6" xr3:uid="{3512D05D-3A98-B245-A95E-F240DF5C3211}" name="HP Factor" dataDxfId="54"/>
    <tableColumn id="7" xr3:uid="{D0765DA9-8712-204F-B9A9-1B49046E2AAD}" name="XP" dataDxfId="53"/>
    <tableColumn id="8" xr3:uid="{597A7743-384F-C14E-BB6E-C23E1C6CE1CA}" name="Column2" dataDxfId="52"/>
    <tableColumn id="9" xr3:uid="{60EC4EF6-1D62-7949-816C-66C151F7BFBA}" name="Column3" dataDxfId="51"/>
    <tableColumn id="10" xr3:uid="{F0B18199-5A5B-414E-8450-522D2887E3DD}" name="Column4" dataDxfId="50"/>
    <tableColumn id="11" xr3:uid="{5A39FD33-B251-5041-8B88-5B33BFD6B2FC}" name="Column5" dataDxfId="49"/>
    <tableColumn id="12" xr3:uid="{CF21C245-91A7-BB49-9363-D365711ABDF3}" name="Column6" dataDxfId="48"/>
    <tableColumn id="13" xr3:uid="{B44C18CE-6E00-724D-B4CD-609ADE475EB9}" name="Column7" dataDxfId="47"/>
    <tableColumn id="14" xr3:uid="{901CE9F9-D8E2-2E46-9384-039CDF6A0ABF}" name="Column8" dataDxfId="46"/>
    <tableColumn id="15" xr3:uid="{964E2ED5-56C5-014E-BF41-7C68744CD8FA}" name="Column9" dataDxfId="45"/>
    <tableColumn id="16" xr3:uid="{BDC3BBC8-C722-A94E-89BC-53601B603859}" name="Column10" dataDxfId="44"/>
    <tableColumn id="17" xr3:uid="{6085284D-3498-D640-B82F-39D5127439B9}" name="Column11" dataDxfId="4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42">
  <autoFilter ref="A1:C15" xr:uid="{155EBD5E-3DA9-7C4C-98B7-91D73ABBCBEA}"/>
  <tableColumns count="3">
    <tableColumn id="1" xr3:uid="{AE3CEFB8-A81B-1945-B935-54D9C303AE90}" name="XP" dataDxfId="41"/>
    <tableColumn id="2" xr3:uid="{BC117F6B-7A72-794E-A7A9-35C1983CB4DB}" name="Level" dataDxfId="40"/>
    <tableColumn id="3" xr3:uid="{B8412833-42B8-AC4F-8B3F-0E354215D314}" name="Expertise" dataDxfId="3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38" dataDxfId="37">
  <autoFilter ref="E1:G14" xr:uid="{5644FF1C-D713-604E-8E6F-FA601D66BB9F}"/>
  <tableColumns count="3">
    <tableColumn id="1" xr3:uid="{3666EECD-8766-9142-ADF8-3E0E7512115A}" name="Rank" dataDxfId="36"/>
    <tableColumn id="2" xr3:uid="{73A0B26C-75CB-ED4F-882C-B1AFE5834235}" name="XP" dataDxfId="35">
      <calculatedColumnFormula>F1+G1</calculatedColumnFormula>
    </tableColumn>
    <tableColumn id="3" xr3:uid="{51D4A3E4-3DB9-124B-945D-53E6771F1494}" name="XP_ADD" dataDxfId="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33">
  <autoFilter ref="I1:L10" xr:uid="{8133F681-167D-F049-9826-3312B39E818C}"/>
  <tableColumns count="4">
    <tableColumn id="1" xr3:uid="{48A52C97-1904-CD46-80EA-064E09AAF69B}" name="Type"/>
    <tableColumn id="2" xr3:uid="{38C00C01-3C20-6D47-A5EB-F3A7BEAEC051}" name="Armor" dataDxfId="32"/>
    <tableColumn id="3" xr3:uid="{EE898554-2F74-C149-B88C-AF12B4508BF3}" name="INI" dataDxfId="31"/>
    <tableColumn id="4" xr3:uid="{F349EE49-F581-BB4C-8F32-35834A1E04BF}" name="Movement" dataDxfId="3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29">
  <autoFilter ref="O1:S10" xr:uid="{2A1B3E48-F34C-174D-8FBD-7A506A55BF41}"/>
  <tableColumns count="5">
    <tableColumn id="1" xr3:uid="{94233833-88FD-1A4A-B618-9CFA4BB779D8}" name="Type"/>
    <tableColumn id="2" xr3:uid="{65FF8683-7DAD-9541-BA3F-72C23BBAA524}" name="Armor" dataDxfId="28"/>
    <tableColumn id="4" xr3:uid="{0071B3F4-3F31-4840-9341-10D8AB7C1EFB}" name="INI" dataDxfId="27"/>
    <tableColumn id="5" xr3:uid="{0770FF4B-C599-B144-8E09-19F1C8E836A2}" name="Movement" dataDxfId="26"/>
    <tableColumn id="6" xr3:uid="{E5FDFDB6-BBF2-DC42-8D85-B230C4C6AECD}" name="Dodge"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8" dataDxfId="287">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6" totalsRowDxfId="285"/>
    <tableColumn id="2" xr3:uid="{9BCB48E4-DBE3-5942-8D75-286CC1057954}" name="Code" totalsRowFunction="custom" dataDxfId="284" totalsRowDxfId="283">
      <totalsRowFormula>SUM(Table1[[#Totals],[Bought]:[Expert]])</totalsRowFormula>
    </tableColumn>
    <tableColumn id="3" xr3:uid="{CA9C36A3-6157-BA4C-AA92-67A100D27609}" name="Bought" totalsRowFunction="custom" dataDxfId="282" totalsRowDxfId="281">
      <totalsRowFormula>COUNTIF(Table1[Bought], "Yes") * 2</totalsRowFormula>
    </tableColumn>
    <tableColumn id="4" xr3:uid="{CA0D2A17-FBA4-5E4F-B125-4C070D8788C4}" name="Skilled" totalsRowFunction="custom" dataDxfId="280" totalsRowDxfId="279">
      <totalsRowFormula>COUNTIF(Table1[Skilled], "Yes") * 3</totalsRowFormula>
    </tableColumn>
    <tableColumn id="5" xr3:uid="{A7566064-06E8-8E44-98CD-C54733321306}" name="Expert" totalsRowFunction="custom" dataDxfId="278" totalsRowDxfId="277">
      <totalsRowFormula>COUNTIF(Table1[Expert], "Yes") * 3</totalsRowFormula>
    </tableColumn>
    <tableColumn id="7" xr3:uid="{2FBFFF7E-FF36-3B4A-B953-C82904D36913}" name="DICE" dataDxfId="276" totalsRowDxfId="275"/>
    <tableColumn id="8" xr3:uid="{C8BCD9D1-3FE9-3647-A609-5788CD8AB7AD}" name="START" dataDxfId="274" totalsRowDxfId="273"/>
    <tableColumn id="14" xr3:uid="{6C3C1930-198A-CA42-8563-974CFD7E82BB}" name="RACE" dataDxfId="272" totalsRowDxfId="271"/>
    <tableColumn id="9" xr3:uid="{22F7BDEA-1AD8-5343-8765-89D3F14F6903}" name="PROF" dataDxfId="270" totalsRowDxfId="269">
      <calculatedColumnFormula>VLOOKUP(PROF,Table7[],Table7[[#Headers],[STR]],FALSE)</calculatedColumnFormula>
    </tableColumn>
    <tableColumn id="10" xr3:uid="{2075AAEA-B6EA-0E43-A822-11D62BB1BE24}" name="EQ." dataDxfId="268" totalsRowDxfId="267"/>
    <tableColumn id="6" xr3:uid="{0AD5C3C3-BBF8-D24A-B215-5FCDD41C3025}" name="Weapons" dataDxfId="266" totalsRowDxfId="265"/>
    <tableColumn id="11" xr3:uid="{97BDD625-37C1-2848-8E6B-2AB44DBA88F9}" name="BONUS" dataDxfId="264" totalsRowDxfId="263"/>
    <tableColumn id="12" xr3:uid="{5E1E8E4D-E523-3C4D-9FE9-AB8CFD8BE3A1}" name="TOTAL" dataDxfId="262" totalsRowDxfId="261">
      <calculatedColumnFormula>SUM(Table1[[#This Row],[START]:[BONUS]])</calculatedColumnFormula>
    </tableColumn>
    <tableColumn id="13" xr3:uid="{B331F653-0EE6-C649-97EB-5E84A49DCF84}" name="STAT" dataDxfId="260" totalsRowDxfId="259">
      <calculatedColumnFormula>ROUNDUP(Table1[[#This Row],[TOTAL]]/10, 0)</calculatedColumnFormula>
    </tableColumn>
    <tableColumn id="15" xr3:uid="{E9A47421-916C-7F48-A22E-F14FB2F5F313}" name="Roll" dataDxfId="258" totalsRowDxfId="257">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56" dataDxfId="255">
  <tableColumns count="11">
    <tableColumn id="1" xr3:uid="{488891F9-A380-104B-B93D-C02458C8FA29}" name="Name" totalsRowLabel="Total" dataDxfId="254" totalsRowDxfId="10"/>
    <tableColumn id="2" xr3:uid="{93A5AD0F-341D-E245-AF40-3EAD21FC48A0}" name="Statistic" totalsRowFunction="custom" dataDxfId="253" totalsRowDxfId="9">
      <totalsRowFormula>SUM(Table2[[#Totals],[Bought]:[Expert]])</totalsRowFormula>
    </tableColumn>
    <tableColumn id="3" xr3:uid="{FE35E503-2EA7-A343-99C7-C5C5899FC054}" name="Bought" totalsRowFunction="custom" dataDxfId="252" totalsRowDxfId="8">
      <totalsRowFormula>COUNTIF(Table2[Bought],"Yes") * 2</totalsRowFormula>
    </tableColumn>
    <tableColumn id="4" xr3:uid="{98DF01DF-054B-914B-974E-8AF998FF4E53}" name="Skilled" totalsRowFunction="custom" dataDxfId="251" totalsRowDxfId="7">
      <totalsRowFormula>COUNTIF(Table2[Skilled],"Yes") * 3</totalsRowFormula>
    </tableColumn>
    <tableColumn id="5" xr3:uid="{C62BCE48-B5FF-6A47-AA15-86C6BDEC45D6}" name="Professional" totalsRowFunction="custom" dataDxfId="250" totalsRowDxfId="6">
      <totalsRowFormula>COUNTIF(Table2[Professional],"Yes") * 4</totalsRowFormula>
    </tableColumn>
    <tableColumn id="6" xr3:uid="{D9F29455-4DAB-6A40-8A17-0CA575126A74}" name="Expert" totalsRowFunction="custom" dataDxfId="249" totalsRowDxfId="5">
      <totalsRowFormula>COUNTIF(Table2[Expert],"Yes") * 5</totalsRowFormula>
    </tableColumn>
    <tableColumn id="8" xr3:uid="{D32EF9E9-A539-8B41-871A-B89EA355F651}" name="DICE" dataDxfId="248" totalsRowDxfId="4">
      <calculatedColumnFormula>IF(C2="Yes","1d20","1d10")</calculatedColumnFormula>
    </tableColumn>
    <tableColumn id="9" xr3:uid="{C1A4C07D-E510-A944-A562-B1C910EB2898}" name="STAT" dataDxfId="247" totalsRowDxfId="3">
      <calculatedColumnFormula>IF(Table2[[#This Row],[Skilled]] = "YES",VLOOKUP(Table2[[#This Row],[Statistic]],Table1[[Code]:[STAT]],13,FALSE), 0)</calculatedColumnFormula>
    </tableColumn>
    <tableColumn id="10" xr3:uid="{0B24A7B2-5A09-214A-A140-1714C5D361A4}" name="LEVEL" dataDxfId="246" totalsRowDxfId="2">
      <calculatedColumnFormula>IF(Table2[[#This Row],[Professional]]="Yes",LVL,0)</calculatedColumnFormula>
    </tableColumn>
    <tableColumn id="11" xr3:uid="{356CD671-6933-4E45-8BBD-9402E92B4106}" name="EXP." dataDxfId="245" totalsRowDxfId="1"/>
    <tableColumn id="12" xr3:uid="{28D63D3F-7CDE-BD4A-8D01-F7FC776D2F9A}" name="TOTAL" dataDxfId="244" totalsRowDxfId="0">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43" dataDxfId="242">
  <tableColumns count="11">
    <tableColumn id="1" xr3:uid="{87BB9924-DBC9-8B4C-98A3-1C64069A7F16}" name="Name" totalsRowLabel="Total" dataDxfId="241" totalsRowDxfId="240"/>
    <tableColumn id="2" xr3:uid="{C7B0EDCD-3736-3443-8494-C77B335F22CF}" name="Statistic" totalsRowFunction="custom" dataDxfId="239" totalsRowDxfId="238">
      <totalsRowFormula>SUM(Table217[[#Totals],[Bought]:[Expert]])</totalsRowFormula>
    </tableColumn>
    <tableColumn id="3" xr3:uid="{DB3431C6-D27C-1F4F-A527-26C5173FD0AF}" name="Bought" totalsRowFunction="custom" dataDxfId="237" totalsRowDxfId="236">
      <totalsRowFormula>COUNTIF(Table217[Bought],"Yes") * 2</totalsRowFormula>
    </tableColumn>
    <tableColumn id="4" xr3:uid="{16801E44-9587-1F43-A05D-A6A621B7D92E}" name="Skilled" totalsRowFunction="custom" dataDxfId="235" totalsRowDxfId="234">
      <totalsRowFormula>COUNTIF(Table217[Skilled],"Yes") * 3</totalsRowFormula>
    </tableColumn>
    <tableColumn id="5" xr3:uid="{831CD727-7203-A442-90B2-7454C8FF3483}" name="Professional" totalsRowFunction="custom" dataDxfId="233" totalsRowDxfId="232">
      <totalsRowFormula>COUNTIF(Table217[Professional],"Yes") * 4</totalsRowFormula>
    </tableColumn>
    <tableColumn id="6" xr3:uid="{29019F01-4B37-FD41-BF61-39E9F80E0220}" name="Expert" totalsRowFunction="custom" dataDxfId="231" totalsRowDxfId="230">
      <totalsRowFormula>COUNTIF(Table217[Skilled],"Yes") * 5</totalsRowFormula>
    </tableColumn>
    <tableColumn id="8" xr3:uid="{9DA99A80-D4A2-7245-9FF6-F208EE342709}" name="DICE" dataDxfId="229" totalsRowDxfId="228">
      <calculatedColumnFormula>IF(C2="Yes","1d20","1d10")</calculatedColumnFormula>
    </tableColumn>
    <tableColumn id="9" xr3:uid="{C3CB34DA-A904-9C4B-8C33-222761B6D7D2}" name="STAT" dataDxfId="227" totalsRowDxfId="226">
      <calculatedColumnFormula>IF(Table217[[#This Row],[Skilled]] = "YES",VLOOKUP(Table217[[#This Row],[Statistic]],Table1[[Code]:[STAT]],13,FALSE), 0)</calculatedColumnFormula>
    </tableColumn>
    <tableColumn id="10" xr3:uid="{AA0D7124-EB80-8D45-8B3A-B710D5C942D2}" name="LEVEL" dataDxfId="225" totalsRowDxfId="224">
      <calculatedColumnFormula>IF(Table217[[#This Row],[Professional]]="Yes",LVL,0)</calculatedColumnFormula>
    </tableColumn>
    <tableColumn id="11" xr3:uid="{6DA8214E-CFCE-1F48-9C1E-1466DBBCA419}" name="EXP." dataDxfId="223" totalsRowDxfId="222"/>
    <tableColumn id="12" xr3:uid="{44A80818-EE79-AD41-B43E-D9EA1EB5457F}" name="TOTAL" dataDxfId="221" totalsRowDxfId="220">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19" dataDxfId="218">
  <tableColumns count="12">
    <tableColumn id="1" xr3:uid="{AAE218F1-975D-6E4D-A78F-7D9CFE3F2D85}" name="Name" dataDxfId="217" totalsRowDxfId="216"/>
    <tableColumn id="2" xr3:uid="{D6530EC6-244B-1342-B158-F1BF3AB28116}" name="Rank" dataDxfId="215" totalsRowDxfId="214"/>
    <tableColumn id="3" xr3:uid="{06E3316B-0582-394A-BC3E-83FCA17E3605}" name="Weapon" dataDxfId="213" totalsRowDxfId="212"/>
    <tableColumn id="12" xr3:uid="{DFE40438-CA22-3D44-8C0F-517F5D131F5B}" name="Equip." dataDxfId="211" totalsRowDxfId="210"/>
    <tableColumn id="4" xr3:uid="{D4781ED7-4593-8541-BEFE-6294607C35A6}" name="Special" dataDxfId="209" totalsRowDxfId="208"/>
    <tableColumn id="10" xr3:uid="{F3DF0F91-E598-724D-9337-DE5DFBDAB49E}" name="TotalRank" dataDxfId="207" totalsRowDxfId="206">
      <calculatedColumnFormula>SUM(Table9[[#This Row],[Rank]:[Special]])</calculatedColumnFormula>
    </tableColumn>
    <tableColumn id="5" xr3:uid="{0D510646-E339-4D49-AC64-0E9893C8F3DB}" name="Factor" dataDxfId="205" totalsRowDxfId="204"/>
    <tableColumn id="6" xr3:uid="{7B2CF3F3-396A-4840-8DAE-8804AB543E30}" name="Prefix" dataDxfId="203" totalsRowDxfId="202"/>
    <tableColumn id="7" xr3:uid="{83E2A74F-B858-6946-B767-CA721DD0DE12}" name="Postfix" dataDxfId="201" totalsRowDxfId="200"/>
    <tableColumn id="11" xr3:uid="{ADBF929F-A437-7A42-B5EE-CA1C4C9D4880}" name="CALC" dataDxfId="199" totalsRowDxfId="198"/>
    <tableColumn id="8" xr3:uid="{0BF9FD32-BE0B-AC4D-B2C3-0AE1CD340401}" name="Result" dataDxfId="197" totalsRowDxfId="196">
      <calculatedColumnFormula>Table9[[#This Row],[Prefix]] &amp; SUM(Table9[[#This Row],[Rank]:[Special]])*Table9[[#This Row],[Factor]] &amp; Table9[[#This Row],[Postfix]]</calculatedColumnFormula>
    </tableColumn>
    <tableColumn id="9" xr3:uid="{0D1C4892-DA2B-BC49-8BD4-B5FF578B67AD}" name="XP" totalsRowFunction="custom" dataDxfId="195" totalsRowDxfId="194">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93" dataDxfId="192">
  <autoFilter ref="A2:V21" xr:uid="{B162921F-791F-624A-81ED-6E2D19AD3439}"/>
  <tableColumns count="22">
    <tableColumn id="1" xr3:uid="{D6AFC6F4-56C5-B94E-AAD7-C07A92ACC04B}" name="Location" totalsRowLabel="Total" dataDxfId="191" totalsRowDxfId="190"/>
    <tableColumn id="2" xr3:uid="{6EC0F666-8D61-D644-BCAC-A4117F1781F2}" name="Name" dataDxfId="189" totalsRowDxfId="188"/>
    <tableColumn id="3" xr3:uid="{FDC3F4BD-A2FD-6648-8EE1-D8B4F6108857}" name="Enabled" dataDxfId="187" totalsRowDxfId="186"/>
    <tableColumn id="4" xr3:uid="{6BD01D3C-E517-274F-87F1-974D9398BA72}" name="DMG" totalsRowFunction="custom" dataDxfId="185" totalsRowDxfId="184">
      <totalsRowFormula>SUMIF(Table12[Enabled],"Yes",Table12[DMG])</totalsRowFormula>
    </tableColumn>
    <tableColumn id="5" xr3:uid="{1E15D738-D79A-244C-851E-E57C038AF8E0}" name="Stamina" totalsRowFunction="custom" dataDxfId="183" totalsRowDxfId="182">
      <totalsRowFormula>SUMIF(Table12[Enabled],"Yes",Table12[Stamina])</totalsRowFormula>
    </tableColumn>
    <tableColumn id="6" xr3:uid="{4356B910-7F96-084F-A9BD-24B81A1D65C2}" name="Crit" totalsRowFunction="custom" dataDxfId="181" totalsRowDxfId="180">
      <totalsRowFormula>SUMIF(Table12[Enabled],"Yes",Table12[Stamina])</totalsRowFormula>
    </tableColumn>
    <tableColumn id="7" xr3:uid="{34D53967-FE59-F548-9D59-EBF5A5FF3B80}" name="Crit DMG" totalsRowFunction="custom" dataDxfId="179" totalsRowDxfId="178">
      <totalsRowFormula>SUMIF(Table12[Enabled],"Yes",Table12[Crit DMG])</totalsRowFormula>
    </tableColumn>
    <tableColumn id="8" xr3:uid="{D37EF853-D2F7-214A-83D0-086F59F00DC8}" name="Splash" totalsRowFunction="custom" dataDxfId="177" totalsRowDxfId="176">
      <totalsRowFormula>SUMIF(Table12[Enabled],"Yes",Table12[Splash])</totalsRowFormula>
    </tableColumn>
    <tableColumn id="9" xr3:uid="{5DE5E55B-8076-214A-88F0-165C9D5589AB}" name="Splash _x000a_DMG" totalsRowFunction="custom" dataDxfId="175" totalsRowDxfId="174">
      <totalsRowFormula>SUMIF(Table12[Enabled],"Yes",Table12[Splash 
DMG])</totalsRowFormula>
    </tableColumn>
    <tableColumn id="10" xr3:uid="{1CB3B9C9-B073-D24E-A036-62CB1C097282}" name="Exprt." totalsRowFunction="custom" dataDxfId="173" totalsRowDxfId="172">
      <totalsRowFormula>SUMIF(Table12[Enabled],"Yes",Table12[Exprt.])</totalsRowFormula>
    </tableColumn>
    <tableColumn id="11" xr3:uid="{80F0809C-2100-2247-9ADB-01576F8CA19B}" name="Mvmt." totalsRowFunction="custom" dataDxfId="171" totalsRowDxfId="170">
      <totalsRowFormula>SUMIF(Table12[Enabled],"Yes",Table12[Mvmt.])</totalsRowFormula>
    </tableColumn>
    <tableColumn id="12" xr3:uid="{100B3365-5937-EA45-886B-E3DFD195C5B2}" name="Extra _x000a_Attack" totalsRowFunction="custom" dataDxfId="169" totalsRowDxfId="168">
      <totalsRowFormula>SUMIF(Table12[Enabled],"Yes",Table12[Extra 
Attack])</totalsRowFormula>
    </tableColumn>
    <tableColumn id="13" xr3:uid="{5594E278-21E8-A14C-ADBC-E8B9C800F93B}" name="Armor" totalsRowFunction="custom" dataDxfId="167" totalsRowDxfId="166">
      <totalsRowFormula>SUMIF(Table12[Enabled],"Yes",Table12[Armor])</totalsRowFormula>
    </tableColumn>
    <tableColumn id="14" xr3:uid="{CB23327D-EFF8-A342-A9DE-65E1B7BC4BE3}" name="Aura" totalsRowFunction="custom" dataDxfId="165" totalsRowDxfId="164">
      <totalsRowFormula>SUMIF(Table12[Enabled],"Yes",Table12[Aura])</totalsRowFormula>
    </tableColumn>
    <tableColumn id="15" xr3:uid="{B0438D6C-EBB6-7D45-9116-94CBEFB8D439}" name="Directed Strike" totalsRowFunction="custom" dataDxfId="163" totalsRowDxfId="162">
      <totalsRowFormula>SUMIF(Table12[Enabled],"Yes",Table12[Directed Strike])</totalsRowFormula>
    </tableColumn>
    <tableColumn id="16" xr3:uid="{0C0196AE-E23B-644F-8625-5FFF406E7239}" name="INI" totalsRowFunction="custom" dataDxfId="161" totalsRowDxfId="160">
      <totalsRowFormula>SUMIF(Table12[Enabled],"Yes",Table12[INI])</totalsRowFormula>
    </tableColumn>
    <tableColumn id="17" xr3:uid="{0CE5E91F-F441-3541-ACBF-9B6E8F3D32BE}" name="STR" totalsRowFunction="custom" dataDxfId="159" totalsRowDxfId="158">
      <totalsRowFormula>SUMIF(Table12[Enabled],"Yes",Table12[STR])</totalsRowFormula>
    </tableColumn>
    <tableColumn id="18" xr3:uid="{CE0B6C3F-7775-4E44-8CAD-EB5E7ED373D8}" name="AGI" totalsRowFunction="custom" dataDxfId="157" totalsRowDxfId="156">
      <totalsRowFormula>SUMIF(Table12[Enabled],"Yes",Table12[AGI])</totalsRowFormula>
    </tableColumn>
    <tableColumn id="19" xr3:uid="{DD3C9C3F-31EB-7F48-83CE-9607AADE61CE}" name="INU" totalsRowFunction="custom" dataDxfId="155" totalsRowDxfId="154">
      <totalsRowFormula>SUMIF(Table12[Enabled],"Yes",Table12[INU])</totalsRowFormula>
    </tableColumn>
    <tableColumn id="20" xr3:uid="{93C1F38D-CC0D-9F4E-AFB2-B3B60FA2E230}" name="CHA" totalsRowFunction="custom" dataDxfId="153" totalsRowDxfId="152">
      <totalsRowFormula>SUMIF(Table12[Enabled],"Yes",Table12[CHA])</totalsRowFormula>
    </tableColumn>
    <tableColumn id="21" xr3:uid="{86EE74A2-267E-5244-ADE0-325523D5DAF0}" name="PER" totalsRowFunction="custom" dataDxfId="151" totalsRowDxfId="150">
      <totalsRowFormula>SUMIF(Table12[Enabled],"Yes",Table12[PER])</totalsRowFormula>
    </tableColumn>
    <tableColumn id="23" xr3:uid="{DBC245A7-FD67-824A-B01B-CDA3F14F2832}" name="Description" dataDxfId="149" totalsRowDxfId="14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47" dataDxfId="146">
  <autoFilter ref="A2:AA21" xr:uid="{B162921F-791F-624A-81ED-6E2D19AD3439}"/>
  <tableColumns count="27">
    <tableColumn id="2" xr3:uid="{E56D130D-99FD-2946-944B-A51CABD832AC}" name="Name" dataDxfId="145" totalsRowDxfId="144"/>
    <tableColumn id="3" xr3:uid="{BC699B2A-E436-DD44-83B3-3C0AAF24FC76}" name="Enabled" dataDxfId="143" totalsRowDxfId="142"/>
    <tableColumn id="25" xr3:uid="{DE34C382-31A8-114A-B47A-484AE873AF1F}" name="Type" dataDxfId="141" totalsRowDxfId="140"/>
    <tableColumn id="24" xr3:uid="{8B9165EA-408B-0644-BD6C-7AF334F6ACD8}" name="#" dataDxfId="139" totalsRowDxfId="138"/>
    <tableColumn id="23" xr3:uid="{ECE39BFF-43E4-2240-9FE3-1B3C6A2CD436}" name="Dice" dataDxfId="137" totalsRowDxfId="136"/>
    <tableColumn id="26" xr3:uid="{3AA6F904-F0B0-9449-8DDC-3027E3A4BE30}" name="Constant" dataDxfId="135" totalsRowDxfId="134"/>
    <tableColumn id="22" xr3:uid="{E209AE0C-255B-2449-B26F-DEE2F0E8CF23}" name="INI" dataDxfId="133" totalsRowDxfId="132"/>
    <tableColumn id="4" xr3:uid="{B47ADA7A-75BF-8845-B1F4-51CE35E67214}" name="DMG" totalsRowFunction="custom" dataDxfId="131" totalsRowDxfId="130">
      <totalsRowFormula>SUMIF(Table1218[Enabled],"Yes",Table1218[DMG])</totalsRowFormula>
    </tableColumn>
    <tableColumn id="5" xr3:uid="{A56869D3-EF92-704B-9000-BD3D1B486A75}" name="Stamina" totalsRowFunction="custom" dataDxfId="129" totalsRowDxfId="128">
      <totalsRowFormula>SUMIF(Table1218[Enabled],"Yes",Table1218[Stamina])</totalsRowFormula>
    </tableColumn>
    <tableColumn id="6" xr3:uid="{4399BDD2-0759-9445-AC6C-05B3B499C492}" name="Crit" totalsRowFunction="custom" dataDxfId="127" totalsRowDxfId="126">
      <totalsRowFormula>SUMIF(Table1218[Enabled],"Yes",Table1218[Crit])</totalsRowFormula>
    </tableColumn>
    <tableColumn id="7" xr3:uid="{D6B38714-0E9C-D649-BFE5-49596BA9BF1C}" name="Crit DMG" totalsRowFunction="custom" dataDxfId="125" totalsRowDxfId="124">
      <totalsRowFormula>SUMIF(Table1218[Enabled],"Yes",Table1218[Crit DMG])</totalsRowFormula>
    </tableColumn>
    <tableColumn id="8" xr3:uid="{9519CA17-112B-224B-952F-51AC027496F6}" name="Splash" totalsRowFunction="custom" dataDxfId="123" totalsRowDxfId="122">
      <totalsRowFormula>SUMIF(Table1218[Enabled],"Yes",Table1218[Splash])</totalsRowFormula>
    </tableColumn>
    <tableColumn id="9" xr3:uid="{429CA498-92FA-A74E-BC4B-6663D9D8CABA}" name="Splash _x000a_DMG" totalsRowFunction="custom" dataDxfId="121" totalsRowDxfId="120">
      <totalsRowFormula>SUMIF(Table1218[Enabled],"Yes",Table1218[Splash 
DMG])</totalsRowFormula>
    </tableColumn>
    <tableColumn id="10" xr3:uid="{37D7FA16-18E2-6842-926B-EFE8BBF1B1DF}" name="Exprt." totalsRowFunction="custom" dataDxfId="119" totalsRowDxfId="118">
      <totalsRowFormula>SUMIF(Table1218[Enabled],"Yes",Table1218[Exprt.])</totalsRowFormula>
    </tableColumn>
    <tableColumn id="11" xr3:uid="{25A44E44-0A05-AC4D-8AB4-EE74A0BFFAED}" name="Mvmt." totalsRowFunction="custom" dataDxfId="117" totalsRowDxfId="116">
      <totalsRowFormula>SUMIF(Table1218[Enabled],"Yes",Table1218[Mvmt.])</totalsRowFormula>
    </tableColumn>
    <tableColumn id="12" xr3:uid="{9162589E-4452-B14F-84BF-BA8ADF153104}" name="Extra _x000a_Attack" totalsRowFunction="custom" dataDxfId="115" totalsRowDxfId="114">
      <totalsRowFormula>SUMIF(Table1218[Enabled],"Yes",Table1218[Extra 
Attack])</totalsRowFormula>
    </tableColumn>
    <tableColumn id="13" xr3:uid="{76EB8C7B-5213-1A46-B243-DA8120143C97}" name="Armor" totalsRowFunction="custom" dataDxfId="113" totalsRowDxfId="112">
      <totalsRowFormula>SUMIF(Table1218[Enabled],"Yes",Table1218[Armor])</totalsRowFormula>
    </tableColumn>
    <tableColumn id="14" xr3:uid="{7694EA49-563E-1E43-AAAE-55BA11A1C48C}" name="Aura" totalsRowFunction="custom" dataDxfId="111" totalsRowDxfId="110">
      <totalsRowFormula>SUMIF(Table1218[Enabled],"Yes",Table1218[Aura])</totalsRowFormula>
    </tableColumn>
    <tableColumn id="15" xr3:uid="{8C961621-41FF-2948-9B22-39E0CDEE8A7E}" name="Directed Strike" totalsRowFunction="custom" dataDxfId="109" totalsRowDxfId="108">
      <totalsRowFormula>SUMIF(Table1218[Enabled],"Yes",Table1218[Directed Strike])</totalsRowFormula>
    </tableColumn>
    <tableColumn id="1" xr3:uid="{7A2D1CD4-98D1-6F4E-B0A1-5BF54AE2F9B7}" name="AP" totalsRowFunction="custom" dataDxfId="107" totalsRowDxfId="106">
      <totalsRowFormula>SUMIF(Table1218[Enabled],"Yes",Table1218[AP])</totalsRowFormula>
    </tableColumn>
    <tableColumn id="16" xr3:uid="{C1A5919F-5B4B-C442-8BBB-F57C37FB2FEE}" name="INI2" totalsRowFunction="custom" dataDxfId="105" totalsRowDxfId="104">
      <totalsRowFormula>SUMIF(Table1218[Enabled],"Yes",Table1218[INI2])</totalsRowFormula>
    </tableColumn>
    <tableColumn id="17" xr3:uid="{93F7A8DA-DC28-864F-8239-7E93AD5F7188}" name="STR" totalsRowFunction="custom" dataDxfId="103" totalsRowDxfId="102">
      <totalsRowFormula>SUMIF(Table1218[Enabled],"Yes",Table1218[STR])</totalsRowFormula>
    </tableColumn>
    <tableColumn id="18" xr3:uid="{5E33A6F3-45E5-B14F-8A37-AE470CDA5006}" name="AGI" totalsRowFunction="custom" dataDxfId="101" totalsRowDxfId="100">
      <totalsRowFormula>SUMIF(Table1218[Enabled],"Yes",Table1218[AGI])</totalsRowFormula>
    </tableColumn>
    <tableColumn id="19" xr3:uid="{47674090-5365-2D4F-B2B6-FA5831CE6013}" name="INU" totalsRowFunction="custom" dataDxfId="99" totalsRowDxfId="98">
      <totalsRowFormula>SUMIF(Table1218[Enabled],"Yes",Table1218[INU])</totalsRowFormula>
    </tableColumn>
    <tableColumn id="20" xr3:uid="{180A191A-7E92-F146-BDD6-AFE6A0673A36}" name="CHA" totalsRowFunction="custom" dataDxfId="97" totalsRowDxfId="96">
      <totalsRowFormula>SUMIF(Table1218[Enabled],"Yes",Table1218[CHA])</totalsRowFormula>
    </tableColumn>
    <tableColumn id="21" xr3:uid="{66B45B9E-7117-9F4B-9D86-B2A72231074D}" name="PER" totalsRowFunction="custom" dataDxfId="95" totalsRowDxfId="94">
      <totalsRowFormula>SUMIF(Table1218[Enabled],"Yes",Table1218[PER])</totalsRowFormula>
    </tableColumn>
    <tableColumn id="27" xr3:uid="{D8540632-FC51-0D4F-8B9C-2BD5CF3D48BD}" name="Result" dataDxfId="93" totalsRowDxfId="92">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85" totalsRowCount="1" dataDxfId="91">
  <autoFilter ref="A1:G84" xr:uid="{AB73435D-1DA5-9D4D-A3C2-6FDD431734AF}">
    <filterColumn colId="4">
      <filters>
        <filter val="Yes"/>
      </filters>
    </filterColumn>
  </autoFilter>
  <tableColumns count="7">
    <tableColumn id="1" xr3:uid="{D3222AC0-22D0-884F-9ACB-057509AFE854}" name="Name" totalsRowLabel="Total" dataDxfId="90"/>
    <tableColumn id="2" xr3:uid="{599153C8-C04F-1E43-B915-4EFDDAA10575}" name="Type" dataDxfId="89"/>
    <tableColumn id="3" xr3:uid="{EDEC5936-D857-284D-9D36-956AFDD7675E}" name="Rank" dataDxfId="88"/>
    <tableColumn id="4" xr3:uid="{82D28D72-C87E-9B4A-8903-1B6710B17B31}" name="Level" dataDxfId="87"/>
    <tableColumn id="7" xr3:uid="{5BDFB085-66F9-084D-91F0-257513610F8E}" name="Enabled" dataDxfId="86"/>
    <tableColumn id="5" xr3:uid="{DEE6DAA2-9721-9744-96FC-C77D47077D88}" name="XP" totalsRowFunction="custom" dataDxfId="85" totalsRowDxfId="84">
      <totalsRowFormula>SUMIF(Table18[Enabled],"=Yes",Table18[XP])</totalsRowFormula>
    </tableColumn>
    <tableColumn id="6" xr3:uid="{6625A40C-80FB-224A-BEEB-A3A7B1CB18A8}" name="Description" dataDxfId="8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82" dataDxfId="81">
  <autoFilter ref="A1:R33" xr:uid="{9A133D1A-1408-9A4D-B1A8-016FBFDDF397}"/>
  <tableColumns count="18">
    <tableColumn id="1" xr3:uid="{8A7DFF72-A39A-0242-878A-A43522EFE24F}" name="Name" dataDxfId="80"/>
    <tableColumn id="2" xr3:uid="{1E867DD1-2259-0F42-8DE6-24E3B57FB023}" name="STR" dataDxfId="79"/>
    <tableColumn id="3" xr3:uid="{8B62FCC6-44AF-3745-9B75-FB2CB998E35C}" name="AGI" dataDxfId="78"/>
    <tableColumn id="4" xr3:uid="{A2E15CA6-9E2A-1344-A6EF-BEDA148248DE}" name="INU" dataDxfId="77"/>
    <tableColumn id="18" xr3:uid="{403E2468-C5FB-E940-8CC9-FA9C085C6CA2}" name="CHA" dataDxfId="76"/>
    <tableColumn id="5" xr3:uid="{6997B2AE-7002-964B-8C6B-EF465FAF82EA}" name="PER" dataDxfId="75"/>
    <tableColumn id="6" xr3:uid="{052C7C9D-EB8C-4640-8FD3-30EDB4571A40}" name="HP Factor" dataDxfId="74"/>
    <tableColumn id="7" xr3:uid="{CB645AD0-0F06-3B43-B1B3-E6D435FC9BBC}" name="XP" dataDxfId="73"/>
    <tableColumn id="8" xr3:uid="{187B0803-25C6-8643-B93A-30A61D579311}" name="Column2" dataDxfId="72"/>
    <tableColumn id="9" xr3:uid="{D5FA0FDA-C465-914B-9F10-275BED958455}" name="Column3" dataDxfId="71"/>
    <tableColumn id="10" xr3:uid="{E91B6F4A-B437-F54C-B449-1103036C5B36}" name="Column4" dataDxfId="70"/>
    <tableColumn id="11" xr3:uid="{916C933F-3F60-A640-86EB-CA547F95B9D7}" name="Column5" dataDxfId="69"/>
    <tableColumn id="12" xr3:uid="{C2E89ECD-3CE6-DF4A-8BED-C99396B26E38}" name="Column6" dataDxfId="68"/>
    <tableColumn id="13" xr3:uid="{584B2452-4E2B-914C-AEF2-657C6BD496DB}" name="Column7" dataDxfId="67"/>
    <tableColumn id="14" xr3:uid="{ACFF4731-2977-724C-BEA0-BF0E750D4D37}" name="Column8" dataDxfId="66"/>
    <tableColumn id="15" xr3:uid="{13FA1501-6896-C04C-AC18-9E866978A015}" name="Column9" dataDxfId="65"/>
    <tableColumn id="16" xr3:uid="{8673696E-720C-DF47-836C-C07175E535C6}" name="Column10" dataDxfId="64"/>
    <tableColumn id="17" xr3:uid="{2177733D-A9EC-574A-81A2-DCB7E8D34927}" name="Column11" dataDxfId="6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7"/>
  <sheetViews>
    <sheetView tabSelected="1" zoomScale="160" zoomScaleNormal="160" workbookViewId="0">
      <selection activeCell="AU31" sqref="AU31"/>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12" t="str">
        <f>CHARACTER_NAME</f>
        <v>Earl-th</v>
      </c>
      <c r="C2" s="112"/>
      <c r="D2" s="112"/>
      <c r="E2" s="112"/>
      <c r="F2" s="112"/>
      <c r="G2" s="112"/>
      <c r="H2" s="112"/>
      <c r="I2" s="112"/>
      <c r="J2" s="112"/>
      <c r="K2" s="112"/>
      <c r="L2" s="112"/>
      <c r="M2" s="112"/>
      <c r="N2" s="112"/>
      <c r="O2" s="112"/>
      <c r="S2" s="110" t="str">
        <f>CHARACTER_RACE</f>
        <v>Drawf</v>
      </c>
      <c r="T2" s="110"/>
      <c r="U2" s="110"/>
      <c r="V2" s="110"/>
      <c r="W2" s="110"/>
      <c r="X2" s="110"/>
      <c r="Y2" s="110"/>
      <c r="Z2" s="110"/>
      <c r="AB2" s="110" t="str">
        <f>CHARACTER_PROFESSION</f>
        <v>Earth Mage</v>
      </c>
      <c r="AC2" s="110"/>
      <c r="AD2" s="110"/>
      <c r="AE2" s="110"/>
      <c r="AF2" s="110"/>
      <c r="AG2" s="110"/>
      <c r="AH2" s="110"/>
      <c r="AI2" s="110"/>
      <c r="AN2" s="101">
        <f>TOTAL_XP</f>
        <v>80</v>
      </c>
      <c r="AO2" s="101"/>
      <c r="AP2" s="101"/>
      <c r="AQ2" s="101"/>
      <c r="AS2" s="101">
        <f>LVL</f>
        <v>5</v>
      </c>
      <c r="AT2" s="101"/>
      <c r="AU2" s="101"/>
      <c r="AV2" s="101"/>
      <c r="BE2" s="47"/>
    </row>
    <row r="3" spans="2:57" ht="10" customHeight="1" x14ac:dyDescent="0.2">
      <c r="B3" s="112"/>
      <c r="C3" s="112"/>
      <c r="D3" s="112"/>
      <c r="E3" s="112"/>
      <c r="F3" s="112"/>
      <c r="G3" s="112"/>
      <c r="H3" s="112"/>
      <c r="I3" s="112"/>
      <c r="J3" s="112"/>
      <c r="K3" s="112"/>
      <c r="L3" s="112"/>
      <c r="M3" s="112"/>
      <c r="N3" s="112"/>
      <c r="O3" s="112"/>
      <c r="S3" s="111"/>
      <c r="T3" s="111"/>
      <c r="U3" s="111"/>
      <c r="V3" s="111"/>
      <c r="W3" s="111"/>
      <c r="X3" s="111"/>
      <c r="Y3" s="111"/>
      <c r="Z3" s="111"/>
      <c r="AB3" s="111"/>
      <c r="AC3" s="111"/>
      <c r="AD3" s="111"/>
      <c r="AE3" s="111"/>
      <c r="AF3" s="111"/>
      <c r="AG3" s="111"/>
      <c r="AH3" s="111"/>
      <c r="AI3" s="111"/>
      <c r="AN3" s="101"/>
      <c r="AO3" s="101"/>
      <c r="AP3" s="101"/>
      <c r="AQ3" s="101"/>
      <c r="AS3" s="101"/>
      <c r="AT3" s="101"/>
      <c r="AU3" s="101"/>
      <c r="AV3" s="101"/>
    </row>
    <row r="4" spans="2:57" ht="10" customHeight="1" x14ac:dyDescent="0.2">
      <c r="B4" s="112"/>
      <c r="C4" s="112"/>
      <c r="D4" s="112"/>
      <c r="E4" s="112"/>
      <c r="F4" s="112"/>
      <c r="G4" s="112"/>
      <c r="H4" s="112"/>
      <c r="I4" s="112"/>
      <c r="J4" s="112"/>
      <c r="K4" s="112"/>
      <c r="L4" s="112"/>
      <c r="M4" s="112"/>
      <c r="N4" s="112"/>
      <c r="O4" s="112"/>
      <c r="S4" s="36" t="s">
        <v>49</v>
      </c>
      <c r="Z4" s="30"/>
      <c r="AB4" s="36" t="s">
        <v>200</v>
      </c>
      <c r="AI4" s="30"/>
      <c r="AJ4" s="31"/>
      <c r="AK4" s="31"/>
      <c r="AL4" s="31"/>
      <c r="AM4" s="31"/>
      <c r="AN4" s="101"/>
      <c r="AO4" s="101"/>
      <c r="AP4" s="101"/>
      <c r="AQ4" s="101"/>
      <c r="AR4" s="31"/>
      <c r="AS4" s="101"/>
      <c r="AT4" s="101"/>
      <c r="AU4" s="101"/>
      <c r="AV4" s="101"/>
    </row>
    <row r="5" spans="2:57" ht="10" customHeight="1" x14ac:dyDescent="0.2">
      <c r="B5" s="116"/>
      <c r="C5" s="116"/>
      <c r="D5" s="32"/>
      <c r="E5" s="116"/>
      <c r="F5" s="116"/>
      <c r="Z5" s="30"/>
      <c r="AB5" s="31"/>
      <c r="AC5" s="31"/>
      <c r="AD5" s="31"/>
      <c r="AE5" s="31"/>
      <c r="AF5" s="31"/>
      <c r="AG5" s="31"/>
      <c r="AH5" s="31"/>
      <c r="AI5" s="31"/>
      <c r="AJ5" s="31"/>
      <c r="AK5" s="31"/>
      <c r="AL5" s="31"/>
      <c r="AM5" s="31"/>
      <c r="AN5" s="102"/>
      <c r="AO5" s="102"/>
      <c r="AP5" s="102"/>
      <c r="AQ5" s="102"/>
      <c r="AR5" s="31"/>
      <c r="AS5" s="102"/>
      <c r="AT5" s="102"/>
      <c r="AU5" s="102"/>
      <c r="AV5" s="102"/>
    </row>
    <row r="6" spans="2:57" ht="10" customHeight="1" x14ac:dyDescent="0.2">
      <c r="F6" s="32"/>
      <c r="AN6" s="103" t="s">
        <v>51</v>
      </c>
      <c r="AO6" s="103"/>
      <c r="AP6" s="103"/>
      <c r="AQ6" s="103"/>
      <c r="AR6" s="31"/>
      <c r="AS6" s="103" t="s">
        <v>40</v>
      </c>
      <c r="AT6" s="103"/>
      <c r="AU6" s="103"/>
      <c r="AV6" s="103"/>
    </row>
    <row r="7" spans="2:57" ht="10" customHeight="1" thickBot="1" x14ac:dyDescent="0.25">
      <c r="F7" s="32"/>
      <c r="AP7" s="31"/>
      <c r="AQ7" s="31"/>
      <c r="AR7" s="31"/>
      <c r="AS7" s="31"/>
      <c r="AT7" s="31"/>
    </row>
    <row r="8" spans="2:57" ht="10" customHeight="1" thickTop="1" x14ac:dyDescent="0.2">
      <c r="B8" s="113" t="s">
        <v>29</v>
      </c>
      <c r="C8" s="114"/>
      <c r="D8" s="114"/>
      <c r="E8" s="115"/>
      <c r="F8" s="32"/>
      <c r="H8" s="104" t="s">
        <v>100</v>
      </c>
      <c r="I8" s="105"/>
      <c r="J8" s="105"/>
      <c r="K8" s="106"/>
      <c r="M8" s="104" t="s">
        <v>120</v>
      </c>
      <c r="N8" s="105"/>
      <c r="O8" s="105"/>
      <c r="P8" s="106"/>
      <c r="R8" s="104" t="s">
        <v>121</v>
      </c>
      <c r="S8" s="105"/>
      <c r="T8" s="105"/>
      <c r="U8" s="106"/>
      <c r="W8" s="104" t="s">
        <v>68</v>
      </c>
      <c r="X8" s="105"/>
      <c r="Y8" s="105"/>
      <c r="Z8" s="106"/>
      <c r="AB8" s="104" t="s">
        <v>117</v>
      </c>
      <c r="AC8" s="105"/>
      <c r="AD8" s="105"/>
      <c r="AE8" s="106"/>
      <c r="AF8" s="31"/>
      <c r="AG8" s="104" t="s">
        <v>205</v>
      </c>
      <c r="AH8" s="105"/>
      <c r="AI8" s="105"/>
      <c r="AJ8" s="106"/>
      <c r="AK8" s="31"/>
      <c r="AL8" s="104" t="s">
        <v>215</v>
      </c>
      <c r="AM8" s="105"/>
      <c r="AN8" s="105"/>
      <c r="AO8" s="106"/>
      <c r="AQ8" s="104" t="s">
        <v>209</v>
      </c>
      <c r="AR8" s="105"/>
      <c r="AS8" s="105"/>
      <c r="AT8" s="106"/>
    </row>
    <row r="9" spans="2:57" ht="10" customHeight="1" x14ac:dyDescent="0.2">
      <c r="B9" s="107">
        <f>STR</f>
        <v>3</v>
      </c>
      <c r="C9" s="108"/>
      <c r="D9" s="108"/>
      <c r="E9" s="109"/>
      <c r="F9" s="32"/>
      <c r="H9" s="95">
        <f>CHARACTER_HP</f>
        <v>110</v>
      </c>
      <c r="I9" s="96"/>
      <c r="J9" s="96"/>
      <c r="K9" s="97"/>
      <c r="M9" s="95">
        <f>CHARACTER_ARMOR</f>
        <v>8</v>
      </c>
      <c r="N9" s="96"/>
      <c r="O9" s="96"/>
      <c r="P9" s="97"/>
      <c r="R9" s="95">
        <f>CHARACTER_AURA</f>
        <v>9</v>
      </c>
      <c r="S9" s="96"/>
      <c r="T9" s="96"/>
      <c r="U9" s="97"/>
      <c r="W9" s="95">
        <f>CHARACTER_EXPERTISE</f>
        <v>2</v>
      </c>
      <c r="X9" s="96"/>
      <c r="Y9" s="96"/>
      <c r="Z9" s="97"/>
      <c r="AB9" s="95">
        <f>CHARACTER_MOVEMENT</f>
        <v>8</v>
      </c>
      <c r="AC9" s="96"/>
      <c r="AD9" s="96"/>
      <c r="AE9" s="97"/>
      <c r="AF9" s="31"/>
      <c r="AG9" s="95">
        <f>CHARACTER_INI</f>
        <v>22</v>
      </c>
      <c r="AH9" s="96"/>
      <c r="AI9" s="96"/>
      <c r="AJ9" s="97"/>
      <c r="AK9" s="31"/>
      <c r="AL9" s="95" t="str">
        <f>FEAT_INI</f>
        <v>2</v>
      </c>
      <c r="AM9" s="96"/>
      <c r="AN9" s="96"/>
      <c r="AO9" s="97"/>
      <c r="AQ9" s="95">
        <f>CHARACTER_AP</f>
        <v>6</v>
      </c>
      <c r="AR9" s="96"/>
      <c r="AS9" s="96"/>
      <c r="AT9" s="97"/>
    </row>
    <row r="10" spans="2:57" ht="10" customHeight="1" x14ac:dyDescent="0.2">
      <c r="B10" s="107"/>
      <c r="C10" s="108"/>
      <c r="D10" s="108"/>
      <c r="E10" s="109"/>
      <c r="F10" s="32"/>
      <c r="H10" s="95"/>
      <c r="I10" s="96"/>
      <c r="J10" s="96"/>
      <c r="K10" s="97"/>
      <c r="M10" s="95"/>
      <c r="N10" s="96"/>
      <c r="O10" s="96"/>
      <c r="P10" s="97"/>
      <c r="R10" s="95"/>
      <c r="S10" s="96"/>
      <c r="T10" s="96"/>
      <c r="U10" s="97"/>
      <c r="W10" s="95"/>
      <c r="X10" s="96"/>
      <c r="Y10" s="96"/>
      <c r="Z10" s="97"/>
      <c r="AB10" s="95"/>
      <c r="AC10" s="96"/>
      <c r="AD10" s="96"/>
      <c r="AE10" s="97"/>
      <c r="AF10" s="31"/>
      <c r="AG10" s="95"/>
      <c r="AH10" s="96"/>
      <c r="AI10" s="96"/>
      <c r="AJ10" s="97"/>
      <c r="AK10" s="31"/>
      <c r="AL10" s="95"/>
      <c r="AM10" s="96"/>
      <c r="AN10" s="96"/>
      <c r="AO10" s="97"/>
      <c r="AP10" s="31"/>
      <c r="AQ10" s="95"/>
      <c r="AR10" s="96"/>
      <c r="AS10" s="96"/>
      <c r="AT10" s="97"/>
    </row>
    <row r="11" spans="2:57" ht="10" customHeight="1" thickBot="1" x14ac:dyDescent="0.25">
      <c r="B11" s="107"/>
      <c r="C11" s="108"/>
      <c r="D11" s="108"/>
      <c r="E11" s="109"/>
      <c r="F11" s="32"/>
      <c r="H11" s="98"/>
      <c r="I11" s="99"/>
      <c r="J11" s="99"/>
      <c r="K11" s="100"/>
      <c r="M11" s="98"/>
      <c r="N11" s="99"/>
      <c r="O11" s="99"/>
      <c r="P11" s="100"/>
      <c r="R11" s="98"/>
      <c r="S11" s="99"/>
      <c r="T11" s="99"/>
      <c r="U11" s="100"/>
      <c r="W11" s="98"/>
      <c r="X11" s="99"/>
      <c r="Y11" s="99"/>
      <c r="Z11" s="100"/>
      <c r="AB11" s="98"/>
      <c r="AC11" s="99"/>
      <c r="AD11" s="99"/>
      <c r="AE11" s="100"/>
      <c r="AF11" s="31"/>
      <c r="AG11" s="98"/>
      <c r="AH11" s="99"/>
      <c r="AI11" s="99"/>
      <c r="AJ11" s="100"/>
      <c r="AK11" s="31"/>
      <c r="AL11" s="98"/>
      <c r="AM11" s="99"/>
      <c r="AN11" s="99"/>
      <c r="AO11" s="100"/>
      <c r="AP11" s="31"/>
      <c r="AQ11" s="98"/>
      <c r="AR11" s="99"/>
      <c r="AS11" s="99"/>
      <c r="AT11" s="100"/>
    </row>
    <row r="12" spans="2:57" ht="10" customHeight="1" thickTop="1" thickBot="1" x14ac:dyDescent="0.25">
      <c r="B12" s="37"/>
      <c r="C12" s="117">
        <f>STR_TOTAL</f>
        <v>30</v>
      </c>
      <c r="D12" s="118"/>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119"/>
      <c r="D13" s="120"/>
      <c r="E13" s="32"/>
      <c r="F13" s="32"/>
      <c r="G13" s="36"/>
      <c r="H13" s="44" t="str">
        <f>INDEX(Skills!$A$1:$K$34,2,1)</f>
        <v>Weapon Skill</v>
      </c>
      <c r="I13" s="45"/>
      <c r="J13" s="45"/>
      <c r="K13" s="45"/>
      <c r="L13" s="45"/>
      <c r="M13" s="45"/>
      <c r="N13" s="40" t="str">
        <f>INDEX(Table2[[#Headers],[#Data]],2,11)</f>
        <v>1d20 + 0</v>
      </c>
      <c r="O13" s="40"/>
      <c r="P13" s="40"/>
      <c r="Q13" s="41"/>
      <c r="R13" s="36"/>
      <c r="S13" s="51" t="s">
        <v>108</v>
      </c>
      <c r="T13" s="40"/>
      <c r="U13" s="40"/>
      <c r="V13" s="40"/>
      <c r="W13" s="40"/>
      <c r="X13" s="40"/>
      <c r="Y13" s="59" t="str">
        <f>INDEX(FEATS,ROW(A1),11)</f>
        <v>+0</v>
      </c>
      <c r="Z13" s="53"/>
      <c r="AA13" s="53"/>
      <c r="AB13" s="54"/>
      <c r="AC13" s="36"/>
      <c r="AE13" s="89" t="s">
        <v>87</v>
      </c>
      <c r="AF13" s="89"/>
      <c r="AG13" s="89"/>
      <c r="AH13" s="89"/>
      <c r="AI13" s="89"/>
      <c r="AJ13" s="89"/>
      <c r="AK13" s="89"/>
      <c r="AL13" s="89"/>
      <c r="AM13" s="89"/>
      <c r="AN13" s="89"/>
      <c r="AO13" s="89"/>
      <c r="AP13" s="89"/>
      <c r="AQ13" s="89"/>
      <c r="AR13" s="89"/>
      <c r="AS13" s="89"/>
      <c r="AT13" s="89"/>
      <c r="AU13" s="89"/>
      <c r="AV13" s="89"/>
      <c r="AW13" s="89"/>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1d10 + 0</v>
      </c>
      <c r="O14" s="42"/>
      <c r="P14" s="42"/>
      <c r="Q14" s="43"/>
      <c r="R14" s="36"/>
      <c r="S14" s="52" t="s">
        <v>110</v>
      </c>
      <c r="T14" s="42"/>
      <c r="U14" s="42"/>
      <c r="V14" s="42"/>
      <c r="W14" s="42"/>
      <c r="X14" s="42"/>
      <c r="Y14" s="58" t="str">
        <f>INDEX(FEATS,ROW(A2),11)</f>
        <v>+6</v>
      </c>
      <c r="AA14" s="55"/>
      <c r="AB14" s="56"/>
      <c r="AC14" s="36"/>
      <c r="AE14" s="90"/>
      <c r="AF14" s="90"/>
      <c r="AG14" s="90"/>
      <c r="AH14" s="90"/>
      <c r="AI14" s="90"/>
      <c r="AJ14" s="90"/>
      <c r="AK14" s="90"/>
      <c r="AL14" s="90"/>
      <c r="AM14" s="90"/>
      <c r="AN14" s="90"/>
      <c r="AO14" s="90"/>
      <c r="AP14" s="90"/>
      <c r="AQ14" s="90"/>
      <c r="AR14" s="90"/>
      <c r="AS14" s="90"/>
      <c r="AT14" s="90"/>
      <c r="AU14" s="90"/>
      <c r="AV14" s="90"/>
      <c r="AW14" s="90"/>
    </row>
    <row r="15" spans="2:57" ht="10" customHeight="1" x14ac:dyDescent="0.15">
      <c r="B15" s="113" t="s">
        <v>30</v>
      </c>
      <c r="C15" s="114"/>
      <c r="D15" s="114"/>
      <c r="E15" s="115"/>
      <c r="F15" s="32"/>
      <c r="G15" s="36"/>
      <c r="H15" s="46" t="str">
        <f>INDEX(Skills!$A$1:$K$34,4,1)</f>
        <v>Dodge</v>
      </c>
      <c r="I15" s="47"/>
      <c r="J15" s="47"/>
      <c r="K15" s="47"/>
      <c r="L15" s="47"/>
      <c r="M15" s="47"/>
      <c r="N15" s="42" t="str">
        <f>INDEX(Table2[[#Headers],[#Data]],4,11)</f>
        <v>1d20 + 1</v>
      </c>
      <c r="O15" s="42"/>
      <c r="P15" s="42"/>
      <c r="Q15" s="43"/>
      <c r="R15" s="36"/>
      <c r="S15" s="52" t="s">
        <v>111</v>
      </c>
      <c r="T15" s="42"/>
      <c r="U15" s="42"/>
      <c r="V15" s="42"/>
      <c r="W15" s="42"/>
      <c r="X15" s="42"/>
      <c r="Y15" s="58" t="str">
        <f>INDEX(FEATS,3,11)</f>
        <v>19</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107">
        <f>AGI</f>
        <v>1</v>
      </c>
      <c r="C16" s="108"/>
      <c r="D16" s="108"/>
      <c r="E16" s="109"/>
      <c r="F16" s="32"/>
      <c r="G16" s="36"/>
      <c r="H16" s="46" t="str">
        <f>INDEX(Skills!$A$1:$K$34,5,1)</f>
        <v>Ballistic Skill</v>
      </c>
      <c r="I16" s="47"/>
      <c r="J16" s="47"/>
      <c r="K16" s="47"/>
      <c r="L16" s="47"/>
      <c r="M16" s="47"/>
      <c r="N16" s="42" t="str">
        <f>INDEX(Table2[[#Headers],[#Data]],5,11)</f>
        <v>1d20 + 0</v>
      </c>
      <c r="O16" s="42"/>
      <c r="P16" s="42"/>
      <c r="Q16" s="43"/>
      <c r="R16" s="36"/>
      <c r="S16" s="52" t="s">
        <v>113</v>
      </c>
      <c r="T16" s="42"/>
      <c r="U16" s="42"/>
      <c r="V16" s="42"/>
      <c r="W16" s="42"/>
      <c r="X16" s="42"/>
      <c r="Y16" s="58" t="str">
        <f t="shared" ref="Y16:Y26" si="0">INDEX(FEATS,ROW(A4),11)</f>
        <v>+0d4</v>
      </c>
      <c r="AA16" s="55"/>
      <c r="AB16" s="56"/>
      <c r="AC16" s="36"/>
      <c r="AE16" s="91" t="str">
        <f>Weapons!AA3</f>
        <v>Source: 1d12+2+7+0  INI:10</v>
      </c>
      <c r="AF16" s="91"/>
      <c r="AG16" s="91"/>
      <c r="AH16" s="91"/>
      <c r="AI16" s="91"/>
      <c r="AJ16" s="91"/>
      <c r="AK16" s="91"/>
      <c r="AL16" s="91"/>
      <c r="AM16" s="91"/>
      <c r="AN16" s="91"/>
      <c r="AO16" s="91"/>
      <c r="AP16" s="91"/>
      <c r="AQ16" s="91"/>
      <c r="AR16" s="91"/>
      <c r="AS16" s="91"/>
      <c r="AT16" s="91"/>
      <c r="AU16" s="91"/>
      <c r="AV16" s="91"/>
      <c r="AW16" s="91"/>
      <c r="AX16" s="74"/>
      <c r="AY16" s="74"/>
      <c r="AZ16" s="74"/>
      <c r="BA16" s="74"/>
      <c r="BB16" s="74"/>
      <c r="BC16" s="74"/>
      <c r="BD16" s="20"/>
    </row>
    <row r="17" spans="2:59" ht="10" customHeight="1" x14ac:dyDescent="0.25">
      <c r="B17" s="107"/>
      <c r="C17" s="108"/>
      <c r="D17" s="108"/>
      <c r="E17" s="109"/>
      <c r="F17" s="32"/>
      <c r="G17" s="36"/>
      <c r="H17" s="46" t="str">
        <f>INDEX(Skills!$A$1:$K$34,6,1)</f>
        <v>Tactics</v>
      </c>
      <c r="I17" s="47"/>
      <c r="J17" s="47"/>
      <c r="K17" s="47"/>
      <c r="L17" s="47"/>
      <c r="M17" s="47"/>
      <c r="N17" s="42" t="str">
        <f>INDEX(Table2[[#Headers],[#Data]],6,11)</f>
        <v>1d10 + 0</v>
      </c>
      <c r="O17" s="42"/>
      <c r="P17" s="42"/>
      <c r="Q17" s="43"/>
      <c r="R17" s="36"/>
      <c r="S17" s="52" t="s">
        <v>115</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3"/>
    </row>
    <row r="18" spans="2:59" ht="10" customHeight="1" x14ac:dyDescent="0.15">
      <c r="B18" s="107"/>
      <c r="C18" s="108"/>
      <c r="D18" s="108"/>
      <c r="E18" s="109"/>
      <c r="F18" s="32"/>
      <c r="G18" s="36"/>
      <c r="H18" s="46" t="str">
        <f>INDEX(Skills!$A$1:$K$34,7,1)</f>
        <v>Acrobatics</v>
      </c>
      <c r="I18" s="47"/>
      <c r="J18" s="47"/>
      <c r="K18" s="47"/>
      <c r="L18" s="47"/>
      <c r="M18" s="47"/>
      <c r="N18" s="42" t="str">
        <f>INDEX(Table2[[#Headers],[#Data]],7,11)</f>
        <v>1d10 + 0</v>
      </c>
      <c r="O18" s="42"/>
      <c r="P18" s="42"/>
      <c r="Q18" s="43"/>
      <c r="R18" s="36"/>
      <c r="S18" s="52" t="s">
        <v>122</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117">
        <f>AGI_TOTAL</f>
        <v>10</v>
      </c>
      <c r="D19" s="118"/>
      <c r="E19" s="35"/>
      <c r="F19" s="32"/>
      <c r="G19" s="36"/>
      <c r="H19" s="46" t="str">
        <f>INDEX(Skills!$A$1:$K$34,8,1)</f>
        <v>Magic Skill</v>
      </c>
      <c r="I19" s="47"/>
      <c r="J19" s="47"/>
      <c r="K19" s="47"/>
      <c r="L19" s="47"/>
      <c r="M19" s="47"/>
      <c r="N19" s="42" t="str">
        <f>INDEX(Table2[[#Headers],[#Data]],8,11)</f>
        <v>1d20 + 12</v>
      </c>
      <c r="O19" s="42"/>
      <c r="P19" s="42"/>
      <c r="Q19" s="43"/>
      <c r="R19" s="36"/>
      <c r="S19" s="52" t="s">
        <v>68</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119"/>
      <c r="D20" s="120"/>
      <c r="E20" s="32"/>
      <c r="F20" s="32"/>
      <c r="G20" s="36"/>
      <c r="H20" s="46" t="str">
        <f>INDEX(Skills!$A$1:$K$34,9,1)</f>
        <v>Arcane Lore</v>
      </c>
      <c r="I20" s="47"/>
      <c r="J20" s="47"/>
      <c r="K20" s="47"/>
      <c r="L20" s="47"/>
      <c r="M20" s="47"/>
      <c r="N20" s="42" t="str">
        <f>INDEX(Table2[[#Headers],[#Data]],9,11)</f>
        <v>1d20 + 7</v>
      </c>
      <c r="O20" s="42"/>
      <c r="P20" s="42"/>
      <c r="Q20" s="43"/>
      <c r="R20" s="36"/>
      <c r="S20" s="52" t="s">
        <v>117</v>
      </c>
      <c r="T20" s="42"/>
      <c r="U20" s="42"/>
      <c r="V20" s="42"/>
      <c r="W20" s="42"/>
      <c r="X20" s="42"/>
      <c r="Y20" s="58" t="str">
        <f t="shared" si="0"/>
        <v>-2ft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1d20 + 0</v>
      </c>
      <c r="O21" s="42"/>
      <c r="P21" s="42"/>
      <c r="Q21" s="43"/>
      <c r="R21" s="36"/>
      <c r="S21" s="52" t="s">
        <v>119</v>
      </c>
      <c r="T21" s="42"/>
      <c r="U21" s="42"/>
      <c r="V21" s="42"/>
      <c r="W21" s="42"/>
      <c r="X21" s="42"/>
      <c r="Y21" s="58" t="str">
        <f t="shared" si="0"/>
        <v>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113" t="s">
        <v>31</v>
      </c>
      <c r="C22" s="114"/>
      <c r="D22" s="114"/>
      <c r="E22" s="115"/>
      <c r="F22" s="32"/>
      <c r="G22" s="36"/>
      <c r="H22" s="46" t="str">
        <f>INDEX(Skills!$A$1:$K$34,11,1)</f>
        <v>Religion</v>
      </c>
      <c r="I22" s="47"/>
      <c r="J22" s="47"/>
      <c r="K22" s="47"/>
      <c r="L22" s="47"/>
      <c r="M22" s="47"/>
      <c r="N22" s="42" t="str">
        <f>INDEX(Table2[[#Headers],[#Data]],11,11)</f>
        <v>1d20 + 0</v>
      </c>
      <c r="O22" s="42"/>
      <c r="P22" s="42"/>
      <c r="Q22" s="43"/>
      <c r="R22" s="36"/>
      <c r="S22" s="52" t="s">
        <v>120</v>
      </c>
      <c r="T22" s="42"/>
      <c r="U22" s="42"/>
      <c r="V22" s="42"/>
      <c r="W22" s="42"/>
      <c r="X22" s="42"/>
      <c r="Y22" s="58" t="str">
        <f t="shared" si="0"/>
        <v>+8</v>
      </c>
      <c r="AA22" s="55"/>
      <c r="AB22" s="56"/>
      <c r="AC22" s="36"/>
      <c r="AE22" s="89" t="s">
        <v>65</v>
      </c>
      <c r="AF22" s="89"/>
      <c r="AG22" s="89"/>
      <c r="AH22" s="89"/>
      <c r="AI22" s="89"/>
      <c r="AJ22" s="89"/>
      <c r="AK22" s="89"/>
      <c r="AL22" s="89"/>
      <c r="AM22" s="89"/>
      <c r="AN22" s="89"/>
      <c r="AO22" s="89"/>
      <c r="AP22" s="89"/>
      <c r="AQ22" s="89"/>
      <c r="AR22" s="89"/>
      <c r="AS22" s="89"/>
      <c r="AT22" s="89"/>
      <c r="AU22" s="89"/>
      <c r="AV22" s="89"/>
      <c r="AW22" s="89"/>
      <c r="BA22" s="32"/>
      <c r="BB22" s="32"/>
      <c r="BC22" s="32"/>
      <c r="BD22" s="32"/>
      <c r="BE22" s="32"/>
      <c r="BF22" s="32"/>
      <c r="BG22" s="32"/>
    </row>
    <row r="23" spans="2:59" ht="10" customHeight="1" x14ac:dyDescent="0.15">
      <c r="B23" s="107">
        <f>INU</f>
        <v>7</v>
      </c>
      <c r="C23" s="108"/>
      <c r="D23" s="108"/>
      <c r="E23" s="109"/>
      <c r="F23" s="32"/>
      <c r="G23" s="36"/>
      <c r="H23" s="46" t="str">
        <f>INDEX(Skills!$A$1:$K$34,12,1)</f>
        <v>History</v>
      </c>
      <c r="I23" s="47"/>
      <c r="J23" s="47"/>
      <c r="K23" s="47"/>
      <c r="L23" s="47"/>
      <c r="M23" s="47"/>
      <c r="N23" s="42" t="str">
        <f>INDEX(Table2[[#Headers],[#Data]],12,11)</f>
        <v>1d10 + 0</v>
      </c>
      <c r="O23" s="42"/>
      <c r="P23" s="42"/>
      <c r="Q23" s="43"/>
      <c r="R23" s="36"/>
      <c r="S23" s="52" t="s">
        <v>121</v>
      </c>
      <c r="T23" s="42"/>
      <c r="U23" s="42"/>
      <c r="V23" s="42"/>
      <c r="W23" s="42"/>
      <c r="X23" s="42"/>
      <c r="Y23" s="58" t="str">
        <f t="shared" si="0"/>
        <v>+9</v>
      </c>
      <c r="AA23" s="42"/>
      <c r="AB23" s="43"/>
      <c r="AC23" s="36"/>
      <c r="AD23" s="36"/>
      <c r="AE23" s="90"/>
      <c r="AF23" s="90"/>
      <c r="AG23" s="90"/>
      <c r="AH23" s="90"/>
      <c r="AI23" s="90"/>
      <c r="AJ23" s="90"/>
      <c r="AK23" s="90"/>
      <c r="AL23" s="90"/>
      <c r="AM23" s="90"/>
      <c r="AN23" s="90"/>
      <c r="AO23" s="90"/>
      <c r="AP23" s="90"/>
      <c r="AQ23" s="90"/>
      <c r="AR23" s="90"/>
      <c r="AS23" s="90"/>
      <c r="AT23" s="90"/>
      <c r="AU23" s="90"/>
      <c r="AV23" s="90"/>
      <c r="AW23" s="90"/>
      <c r="BA23" s="32"/>
      <c r="BB23" s="32"/>
      <c r="BC23" s="32"/>
      <c r="BD23" s="32"/>
      <c r="BE23" s="32"/>
      <c r="BF23" s="32"/>
      <c r="BG23" s="32"/>
    </row>
    <row r="24" spans="2:59" ht="10" customHeight="1" x14ac:dyDescent="0.15">
      <c r="B24" s="107"/>
      <c r="C24" s="108"/>
      <c r="D24" s="108"/>
      <c r="E24" s="109"/>
      <c r="F24" s="32"/>
      <c r="G24" s="36"/>
      <c r="H24" s="46" t="str">
        <f>INDEX(Skills!$A$1:$K$34,13,1)</f>
        <v>Animal Handler</v>
      </c>
      <c r="I24" s="47"/>
      <c r="J24" s="47"/>
      <c r="K24" s="47"/>
      <c r="L24" s="47"/>
      <c r="M24" s="47"/>
      <c r="N24" s="42" t="str">
        <f>INDEX(Table2[[#Headers],[#Data]],13,11)</f>
        <v>1d10 + 0</v>
      </c>
      <c r="O24" s="42"/>
      <c r="P24" s="42"/>
      <c r="Q24" s="43"/>
      <c r="R24" s="36"/>
      <c r="S24" s="52" t="s">
        <v>140</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107"/>
      <c r="C25" s="108"/>
      <c r="D25" s="108"/>
      <c r="E25" s="109"/>
      <c r="F25" s="32"/>
      <c r="G25" s="36"/>
      <c r="H25" s="46" t="str">
        <f>INDEX(Skills!$A$1:$K$34,14,1)</f>
        <v>Insight</v>
      </c>
      <c r="I25" s="47"/>
      <c r="J25" s="47"/>
      <c r="K25" s="47"/>
      <c r="L25" s="47"/>
      <c r="M25" s="47"/>
      <c r="N25" s="42" t="str">
        <f>INDEX(Table2[[#Headers],[#Data]],14,11)</f>
        <v>1d10 + 0</v>
      </c>
      <c r="O25" s="42"/>
      <c r="P25" s="42"/>
      <c r="Q25" s="43"/>
      <c r="R25" s="36"/>
      <c r="S25" s="52" t="s">
        <v>158</v>
      </c>
      <c r="T25" s="42"/>
      <c r="U25" s="42"/>
      <c r="V25" s="42"/>
      <c r="W25" s="42"/>
      <c r="X25" s="42"/>
      <c r="Y25" s="58" t="str">
        <f t="shared" si="0"/>
        <v>2</v>
      </c>
      <c r="AA25" s="42"/>
      <c r="AB25" s="43"/>
      <c r="AC25" s="36"/>
      <c r="AD25" s="36"/>
      <c r="AE25" s="36" t="s">
        <v>326</v>
      </c>
      <c r="AF25" s="36"/>
      <c r="AG25" s="36"/>
      <c r="AH25" s="36"/>
      <c r="AI25" s="36"/>
      <c r="AJ25" s="36"/>
      <c r="AK25" s="36"/>
      <c r="AL25" s="36"/>
      <c r="AM25" s="36"/>
      <c r="AN25" s="36"/>
      <c r="AO25" s="36"/>
      <c r="AP25" s="36"/>
      <c r="AQ25" s="36"/>
      <c r="AR25" s="36"/>
      <c r="AS25" s="36"/>
      <c r="AT25" s="36"/>
      <c r="AU25" s="36"/>
      <c r="AV25" s="36"/>
      <c r="AW25" s="36"/>
      <c r="BA25" s="32"/>
      <c r="BB25" s="32"/>
      <c r="BC25" s="32"/>
      <c r="BD25" s="69"/>
      <c r="BE25" s="32"/>
      <c r="BF25" s="32"/>
      <c r="BG25" s="32"/>
    </row>
    <row r="26" spans="2:59" ht="10" customHeight="1" thickBot="1" x14ac:dyDescent="0.25">
      <c r="B26" s="34"/>
      <c r="C26" s="117">
        <f>INU_TOTAL</f>
        <v>63</v>
      </c>
      <c r="D26" s="118"/>
      <c r="E26" s="35"/>
      <c r="F26" s="32"/>
      <c r="G26" s="36"/>
      <c r="H26" s="46" t="str">
        <f>INDEX(Skills!$A$1:$K$34,15,1)</f>
        <v>Slight of Hand</v>
      </c>
      <c r="I26" s="47"/>
      <c r="J26" s="47"/>
      <c r="K26" s="47"/>
      <c r="L26" s="47"/>
      <c r="M26" s="47"/>
      <c r="N26" s="42" t="str">
        <f>INDEX(Table2[[#Headers],[#Data]],15,11)</f>
        <v>1d10 + 0</v>
      </c>
      <c r="O26" s="42"/>
      <c r="P26" s="42"/>
      <c r="Q26" s="43"/>
      <c r="R26" s="36"/>
      <c r="S26" s="57" t="s">
        <v>209</v>
      </c>
      <c r="T26" s="42"/>
      <c r="U26" s="42"/>
      <c r="V26" s="42"/>
      <c r="W26" s="42"/>
      <c r="X26" s="42"/>
      <c r="Y26" s="58">
        <f t="shared" si="0"/>
        <v>3</v>
      </c>
      <c r="Z26" s="42"/>
      <c r="AA26" s="42"/>
      <c r="AB26" s="43"/>
      <c r="AC26" s="36"/>
      <c r="AD26" s="36"/>
      <c r="AE26" s="36"/>
      <c r="AF26" s="36" t="s">
        <v>327</v>
      </c>
      <c r="AG26" s="36"/>
      <c r="AH26" s="36"/>
      <c r="AI26" s="36"/>
      <c r="AJ26" s="36"/>
      <c r="AK26" s="36"/>
      <c r="AL26" s="36"/>
      <c r="AM26" s="36"/>
      <c r="AN26" s="36"/>
      <c r="AO26" s="36"/>
      <c r="AP26" s="36"/>
      <c r="AQ26" s="36"/>
      <c r="AR26" s="36"/>
      <c r="AS26" s="36"/>
      <c r="AT26" s="36"/>
      <c r="AU26" s="36"/>
      <c r="AV26" s="36"/>
      <c r="AW26" s="36"/>
      <c r="BA26" s="32"/>
      <c r="BB26" s="32"/>
      <c r="BC26" s="68"/>
      <c r="BD26" s="32"/>
      <c r="BE26" s="32"/>
      <c r="BF26" s="32"/>
      <c r="BG26" s="32"/>
    </row>
    <row r="27" spans="2:59" ht="10" customHeight="1" x14ac:dyDescent="0.2">
      <c r="B27" s="33"/>
      <c r="C27" s="119"/>
      <c r="D27" s="120"/>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t="s">
        <v>328</v>
      </c>
      <c r="AF27" s="36"/>
      <c r="AG27" s="36"/>
      <c r="AH27" s="36"/>
      <c r="AI27" s="36"/>
      <c r="AJ27" s="36"/>
      <c r="AK27" s="36"/>
      <c r="AL27" s="36"/>
      <c r="AM27" s="36"/>
      <c r="AN27" s="36"/>
      <c r="AO27" s="36"/>
      <c r="AP27" s="36"/>
      <c r="AQ27" s="36"/>
      <c r="AR27" s="36"/>
      <c r="AS27" s="36"/>
      <c r="AT27" s="36"/>
      <c r="AU27" s="36"/>
      <c r="AV27" s="36"/>
      <c r="AW27" s="36"/>
      <c r="BA27" s="32"/>
      <c r="BB27" s="32"/>
      <c r="BC27" s="32"/>
      <c r="BD27" s="68"/>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2" t="s">
        <v>62</v>
      </c>
      <c r="T28" s="93"/>
      <c r="U28" s="93"/>
      <c r="V28" s="93"/>
      <c r="W28" s="93"/>
      <c r="X28" s="93"/>
      <c r="Y28" s="93"/>
      <c r="Z28" s="93"/>
      <c r="AA28" s="93"/>
      <c r="AB28" s="94"/>
      <c r="AC28" s="36"/>
      <c r="AD28" s="36"/>
      <c r="AE28" s="36" t="s">
        <v>342</v>
      </c>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113" t="s">
        <v>53</v>
      </c>
      <c r="C29" s="114"/>
      <c r="D29" s="114"/>
      <c r="E29" s="115"/>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0"/>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107">
        <f>CHA</f>
        <v>3</v>
      </c>
      <c r="C30" s="108"/>
      <c r="D30" s="108"/>
      <c r="E30" s="109"/>
      <c r="G30" s="36"/>
      <c r="H30" s="46" t="str">
        <f>INDEX(Skills!$A$1:$K$34,19,1)</f>
        <v>Haggle</v>
      </c>
      <c r="I30" s="47"/>
      <c r="J30" s="47"/>
      <c r="K30" s="47"/>
      <c r="L30" s="47"/>
      <c r="M30" s="47"/>
      <c r="N30" s="42" t="str">
        <f>INDEX(Table2[[#Headers],[#Data]],19,11)</f>
        <v>1d10 + 0</v>
      </c>
      <c r="O30" s="42"/>
      <c r="P30" s="42"/>
      <c r="Q30" s="43"/>
      <c r="R30" s="36"/>
      <c r="S30" s="60" t="s">
        <v>175</v>
      </c>
      <c r="T30" s="61"/>
      <c r="U30" s="61"/>
      <c r="V30" s="61"/>
      <c r="W30" s="62" t="s">
        <v>36</v>
      </c>
      <c r="X30" s="61"/>
      <c r="Y30" s="69" t="str">
        <f t="shared" ref="Y30:Y38" si="1">INDEX(RESISTANCES,ROW(A2),11)</f>
        <v>1d20 + 3</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row>
    <row r="31" spans="2:59" ht="10" customHeight="1" x14ac:dyDescent="0.15">
      <c r="B31" s="107"/>
      <c r="C31" s="108"/>
      <c r="D31" s="108"/>
      <c r="E31" s="109"/>
      <c r="G31" s="36"/>
      <c r="H31" s="46" t="str">
        <f>INDEX(Skills!$A$1:$K$34,20,1)</f>
        <v>Inspire</v>
      </c>
      <c r="I31" s="47"/>
      <c r="J31" s="47"/>
      <c r="K31" s="47"/>
      <c r="L31" s="47"/>
      <c r="M31" s="47"/>
      <c r="N31" s="42" t="str">
        <f>INDEX(Table2[[#Headers],[#Data]],20,11)</f>
        <v>1d10 + 0</v>
      </c>
      <c r="O31" s="42"/>
      <c r="P31" s="42"/>
      <c r="Q31" s="43"/>
      <c r="R31" s="36"/>
      <c r="S31" s="64" t="s">
        <v>176</v>
      </c>
      <c r="T31" s="65"/>
      <c r="U31" s="65"/>
      <c r="V31" s="65"/>
      <c r="W31" s="66" t="s">
        <v>35</v>
      </c>
      <c r="X31" s="65"/>
      <c r="Y31" s="69" t="str">
        <f t="shared" si="1"/>
        <v>1d10 + 3</v>
      </c>
      <c r="Z31" s="65"/>
      <c r="AA31" s="65"/>
      <c r="AB31" s="67"/>
      <c r="AC31" s="36"/>
      <c r="AD31" s="36"/>
      <c r="BA31" s="32"/>
      <c r="BB31" s="32"/>
    </row>
    <row r="32" spans="2:59" ht="10" customHeight="1" x14ac:dyDescent="0.15">
      <c r="B32" s="107"/>
      <c r="C32" s="108"/>
      <c r="D32" s="108"/>
      <c r="E32" s="109"/>
      <c r="G32" s="36"/>
      <c r="H32" s="46" t="str">
        <f>INDEX(Skills!$A$1:$K$34,21,1)</f>
        <v>Stealth</v>
      </c>
      <c r="I32" s="47"/>
      <c r="J32" s="47"/>
      <c r="K32" s="47"/>
      <c r="L32" s="47"/>
      <c r="M32" s="47"/>
      <c r="N32" s="42" t="str">
        <f>INDEX(Table2[[#Headers],[#Data]],21,11)</f>
        <v>1d10 + 0</v>
      </c>
      <c r="O32" s="42"/>
      <c r="P32" s="42"/>
      <c r="Q32" s="43"/>
      <c r="R32" s="36"/>
      <c r="S32" s="64" t="s">
        <v>171</v>
      </c>
      <c r="T32" s="65"/>
      <c r="U32" s="65"/>
      <c r="V32" s="65"/>
      <c r="W32" s="66" t="s">
        <v>54</v>
      </c>
      <c r="X32" s="65"/>
      <c r="Y32" s="69" t="str">
        <f t="shared" si="1"/>
        <v>1d10 + 3</v>
      </c>
      <c r="Z32" s="65"/>
      <c r="AA32" s="65"/>
      <c r="AB32" s="67"/>
      <c r="AC32" s="36"/>
      <c r="AD32" s="36"/>
      <c r="BA32" s="32"/>
      <c r="BB32" s="32"/>
    </row>
    <row r="33" spans="2:59" ht="10" customHeight="1" thickBot="1" x14ac:dyDescent="0.2">
      <c r="B33" s="34"/>
      <c r="C33" s="117">
        <f>CHA_TOTAL</f>
        <v>26</v>
      </c>
      <c r="D33" s="118"/>
      <c r="E33" s="35"/>
      <c r="G33" s="36"/>
      <c r="H33" s="46" t="str">
        <f>INDEX(Skills!$A$1:$K$34,22,1)</f>
        <v>Guard</v>
      </c>
      <c r="I33" s="47"/>
      <c r="J33" s="47"/>
      <c r="K33" s="47"/>
      <c r="L33" s="47"/>
      <c r="M33" s="47"/>
      <c r="N33" s="42" t="str">
        <f>INDEX(Table2[[#Headers],[#Data]],22,11)</f>
        <v>1d10 + 0</v>
      </c>
      <c r="O33" s="42"/>
      <c r="P33" s="42"/>
      <c r="Q33" s="43"/>
      <c r="R33" s="36"/>
      <c r="S33" s="64" t="s">
        <v>170</v>
      </c>
      <c r="T33" s="65"/>
      <c r="U33" s="65"/>
      <c r="V33" s="65"/>
      <c r="W33" s="66" t="s">
        <v>35</v>
      </c>
      <c r="X33" s="65"/>
      <c r="Y33" s="69" t="str">
        <f t="shared" si="1"/>
        <v>1d20 + 3</v>
      </c>
      <c r="Z33" s="65"/>
      <c r="AA33" s="65"/>
      <c r="AB33" s="67"/>
      <c r="AC33" s="36"/>
      <c r="AD33" s="36"/>
      <c r="AE33" s="89" t="s">
        <v>343</v>
      </c>
      <c r="AF33" s="89"/>
      <c r="AG33" s="89"/>
      <c r="AH33" s="89"/>
      <c r="AI33" s="89"/>
      <c r="AJ33" s="89"/>
      <c r="AK33" s="89"/>
      <c r="AL33" s="89"/>
      <c r="AM33" s="89"/>
      <c r="AN33" s="89"/>
      <c r="AO33" s="89"/>
      <c r="AP33" s="89"/>
      <c r="AQ33" s="89"/>
      <c r="AR33" s="89"/>
      <c r="AS33" s="89"/>
      <c r="AT33" s="89"/>
      <c r="AU33" s="89"/>
      <c r="AV33" s="89"/>
      <c r="AW33" s="89"/>
      <c r="BA33" s="32"/>
      <c r="BB33" s="32"/>
    </row>
    <row r="34" spans="2:59" ht="10" customHeight="1" x14ac:dyDescent="0.15">
      <c r="B34" s="33"/>
      <c r="C34" s="119"/>
      <c r="D34" s="120"/>
      <c r="E34" s="32"/>
      <c r="G34" s="36"/>
      <c r="H34" s="46" t="str">
        <f>INDEX(Skills!$A$1:$K$34,23,1)</f>
        <v>Law</v>
      </c>
      <c r="I34" s="47"/>
      <c r="J34" s="47"/>
      <c r="K34" s="47"/>
      <c r="L34" s="47"/>
      <c r="M34" s="47"/>
      <c r="N34" s="42" t="str">
        <f>INDEX(Table2[[#Headers],[#Data]],23,11)</f>
        <v>1d10 + 0</v>
      </c>
      <c r="O34" s="42"/>
      <c r="P34" s="42"/>
      <c r="Q34" s="43"/>
      <c r="R34" s="36"/>
      <c r="S34" s="64" t="s">
        <v>172</v>
      </c>
      <c r="T34" s="65"/>
      <c r="U34" s="65"/>
      <c r="V34" s="65"/>
      <c r="W34" s="66" t="s">
        <v>38</v>
      </c>
      <c r="X34" s="65"/>
      <c r="Y34" s="69" t="str">
        <f t="shared" si="1"/>
        <v>1d10 + 3</v>
      </c>
      <c r="Z34" s="65"/>
      <c r="AA34" s="65"/>
      <c r="AB34" s="67"/>
      <c r="AC34" s="36"/>
      <c r="AD34" s="36"/>
      <c r="AE34" s="90"/>
      <c r="AF34" s="90"/>
      <c r="AG34" s="90"/>
      <c r="AH34" s="90"/>
      <c r="AI34" s="90"/>
      <c r="AJ34" s="90"/>
      <c r="AK34" s="90"/>
      <c r="AL34" s="90"/>
      <c r="AM34" s="90"/>
      <c r="AN34" s="90"/>
      <c r="AO34" s="90"/>
      <c r="AP34" s="90"/>
      <c r="AQ34" s="90"/>
      <c r="AR34" s="90"/>
      <c r="AS34" s="90"/>
      <c r="AT34" s="90"/>
      <c r="AU34" s="90"/>
      <c r="AV34" s="90"/>
      <c r="AW34" s="90"/>
      <c r="BA34" s="32"/>
      <c r="BB34" s="32"/>
    </row>
    <row r="35" spans="2:59" ht="10" customHeight="1" thickBot="1" x14ac:dyDescent="0.2">
      <c r="G35" s="36"/>
      <c r="H35" s="46" t="str">
        <f>INDEX(Skills!$A$1:$K$34,24,1)</f>
        <v>Wilderness Surv.</v>
      </c>
      <c r="I35" s="47"/>
      <c r="J35" s="47"/>
      <c r="K35" s="47"/>
      <c r="L35" s="47"/>
      <c r="M35" s="47"/>
      <c r="N35" s="42" t="str">
        <f>INDEX(Table2[[#Headers],[#Data]],24,11)</f>
        <v>1d10 + 0</v>
      </c>
      <c r="O35" s="42"/>
      <c r="P35" s="42"/>
      <c r="Q35" s="43"/>
      <c r="R35" s="36"/>
      <c r="S35" s="64" t="s">
        <v>173</v>
      </c>
      <c r="T35" s="65"/>
      <c r="U35" s="65"/>
      <c r="V35" s="65"/>
      <c r="W35" s="66" t="s">
        <v>35</v>
      </c>
      <c r="X35" s="65"/>
      <c r="Y35" s="69" t="str">
        <f t="shared" si="1"/>
        <v>1d10 + 3</v>
      </c>
      <c r="Z35" s="65"/>
      <c r="AA35" s="65"/>
      <c r="AB35" s="67"/>
      <c r="AC35" s="36"/>
      <c r="AD35" s="36"/>
      <c r="AE35" s="36"/>
      <c r="AF35" s="36"/>
      <c r="AG35" s="36"/>
      <c r="AH35" s="36"/>
      <c r="AI35" s="36"/>
      <c r="AJ35" s="36"/>
      <c r="AK35" s="36"/>
      <c r="AL35" s="36"/>
      <c r="AM35" s="36"/>
      <c r="AN35" s="83"/>
      <c r="AO35" s="83"/>
      <c r="AP35" s="83"/>
      <c r="AQ35" s="83"/>
      <c r="AR35" s="83"/>
      <c r="AS35" s="83"/>
      <c r="AT35" s="83"/>
      <c r="AU35" s="36"/>
      <c r="AV35" s="36"/>
      <c r="AW35" s="36"/>
      <c r="BA35" s="32"/>
      <c r="BB35" s="32"/>
    </row>
    <row r="36" spans="2:59" ht="10" customHeight="1" x14ac:dyDescent="0.15">
      <c r="B36" s="113" t="s">
        <v>32</v>
      </c>
      <c r="C36" s="114"/>
      <c r="D36" s="114"/>
      <c r="E36" s="115"/>
      <c r="G36" s="36"/>
      <c r="H36" s="46" t="str">
        <f>INDEX(Skills!$A$1:$K$34,25,1)</f>
        <v>Concoct Poison</v>
      </c>
      <c r="I36" s="47"/>
      <c r="J36" s="47"/>
      <c r="K36" s="47"/>
      <c r="L36" s="47"/>
      <c r="M36" s="47"/>
      <c r="N36" s="42" t="str">
        <f>INDEX(Table2[[#Headers],[#Data]],25,11)</f>
        <v>1d10 + 0</v>
      </c>
      <c r="O36" s="42"/>
      <c r="P36" s="42"/>
      <c r="Q36" s="43"/>
      <c r="R36" s="36"/>
      <c r="S36" s="64" t="s">
        <v>174</v>
      </c>
      <c r="T36" s="65"/>
      <c r="U36" s="65"/>
      <c r="V36" s="65"/>
      <c r="W36" s="66" t="s">
        <v>35</v>
      </c>
      <c r="X36" s="65"/>
      <c r="Y36" s="69" t="str">
        <f t="shared" si="1"/>
        <v>1d20 + 3</v>
      </c>
      <c r="Z36" s="65"/>
      <c r="AA36" s="65"/>
      <c r="AB36" s="67"/>
      <c r="AC36" s="36"/>
      <c r="AD36" s="36"/>
      <c r="AE36" s="91" t="str">
        <f>"Strength: " &amp; Statistics!O2</f>
        <v>Strength: 1d20 + 0</v>
      </c>
      <c r="AF36" s="91"/>
      <c r="AG36" s="91"/>
      <c r="AH36" s="91"/>
      <c r="AI36" s="91"/>
      <c r="AJ36" s="91"/>
      <c r="AK36" s="91"/>
      <c r="AL36" s="91"/>
      <c r="AM36" s="91"/>
      <c r="AN36" s="91"/>
      <c r="AO36" s="91"/>
      <c r="AP36" s="91"/>
      <c r="AQ36" s="91"/>
      <c r="AR36" s="91"/>
      <c r="AS36" s="91"/>
      <c r="AT36" s="91"/>
      <c r="AU36" s="91"/>
      <c r="AV36" s="91"/>
      <c r="AW36" s="91"/>
      <c r="BA36" s="32"/>
      <c r="BB36" s="32"/>
    </row>
    <row r="37" spans="2:59" ht="10" customHeight="1" x14ac:dyDescent="0.15">
      <c r="B37" s="107">
        <f>PER</f>
        <v>2</v>
      </c>
      <c r="C37" s="108"/>
      <c r="D37" s="108"/>
      <c r="E37" s="109"/>
      <c r="G37" s="36"/>
      <c r="H37" s="46" t="str">
        <f>INDEX(Skills!$A$1:$K$34,26,1)</f>
        <v>Medicine</v>
      </c>
      <c r="I37" s="47"/>
      <c r="J37" s="47"/>
      <c r="K37" s="47"/>
      <c r="L37" s="47"/>
      <c r="M37" s="47"/>
      <c r="N37" s="42" t="str">
        <f>INDEX(Table2[[#Headers],[#Data]],26,11)</f>
        <v>1d10 + 0</v>
      </c>
      <c r="O37" s="42"/>
      <c r="P37" s="42"/>
      <c r="Q37" s="43"/>
      <c r="R37" s="36"/>
      <c r="S37" s="64" t="s">
        <v>177</v>
      </c>
      <c r="T37" s="65"/>
      <c r="U37" s="65"/>
      <c r="V37" s="65"/>
      <c r="W37" s="66" t="s">
        <v>38</v>
      </c>
      <c r="X37" s="65"/>
      <c r="Y37" s="69" t="str">
        <f t="shared" si="1"/>
        <v>1d10 + 3</v>
      </c>
      <c r="Z37" s="65"/>
      <c r="AA37" s="65"/>
      <c r="AB37" s="67"/>
      <c r="AC37" s="36"/>
      <c r="AD37" s="36"/>
      <c r="AE37" s="91" t="str">
        <f>"Agillity: " &amp; Statistics!O3</f>
        <v>Agillity: 1d10 + 0</v>
      </c>
      <c r="AF37" s="91"/>
      <c r="AG37" s="91"/>
      <c r="AH37" s="91"/>
      <c r="AI37" s="91"/>
      <c r="AJ37" s="91"/>
      <c r="AK37" s="91"/>
      <c r="AL37" s="91"/>
      <c r="AM37" s="91"/>
      <c r="AN37" s="91"/>
      <c r="AO37" s="91"/>
      <c r="AP37" s="91"/>
      <c r="AQ37" s="91"/>
      <c r="AR37" s="91"/>
      <c r="AS37" s="91"/>
      <c r="AT37" s="91"/>
      <c r="AU37" s="91"/>
      <c r="AV37" s="91"/>
      <c r="AW37" s="91"/>
      <c r="BA37" s="32"/>
      <c r="BB37" s="32"/>
    </row>
    <row r="38" spans="2:59" ht="10" customHeight="1" x14ac:dyDescent="0.15">
      <c r="B38" s="107"/>
      <c r="C38" s="108"/>
      <c r="D38" s="108"/>
      <c r="E38" s="109"/>
      <c r="G38" s="36"/>
      <c r="H38" s="46" t="str">
        <f>INDEX(Skills!$A$1:$K$34,27,1)</f>
        <v>Language</v>
      </c>
      <c r="I38" s="47"/>
      <c r="J38" s="47"/>
      <c r="K38" s="47"/>
      <c r="L38" s="47"/>
      <c r="M38" s="47"/>
      <c r="N38" s="42" t="str">
        <f>INDEX(Table2[[#Headers],[#Data]],27,11)</f>
        <v>1d10 + 0</v>
      </c>
      <c r="O38" s="42"/>
      <c r="P38" s="42"/>
      <c r="Q38" s="43"/>
      <c r="R38" s="36"/>
      <c r="S38" s="64" t="s">
        <v>178</v>
      </c>
      <c r="T38" s="65"/>
      <c r="U38" s="65"/>
      <c r="V38" s="65"/>
      <c r="W38" s="66" t="s">
        <v>37</v>
      </c>
      <c r="X38" s="65"/>
      <c r="Y38" s="69" t="str">
        <f t="shared" si="1"/>
        <v>1d10 + 3</v>
      </c>
      <c r="Z38" s="65"/>
      <c r="AA38" s="65"/>
      <c r="AB38" s="67"/>
      <c r="AC38" s="36"/>
      <c r="AD38" s="36"/>
      <c r="AE38" s="91" t="str">
        <f>"Intuition: " &amp; Statistics!O4</f>
        <v>Intuition: 1d20 + 0</v>
      </c>
      <c r="AF38" s="91"/>
      <c r="AG38" s="91"/>
      <c r="AH38" s="91"/>
      <c r="AI38" s="91"/>
      <c r="AJ38" s="91"/>
      <c r="AK38" s="91"/>
      <c r="AL38" s="91"/>
      <c r="AM38" s="91"/>
      <c r="AN38" s="91"/>
      <c r="AO38" s="91"/>
      <c r="AP38" s="91"/>
      <c r="AQ38" s="91"/>
      <c r="AR38" s="91"/>
      <c r="AS38" s="91"/>
      <c r="AT38" s="91"/>
      <c r="AU38" s="91"/>
      <c r="AV38" s="91"/>
      <c r="AW38" s="91"/>
      <c r="BA38" s="32"/>
      <c r="BB38" s="32"/>
      <c r="BC38" s="32"/>
      <c r="BD38" s="32"/>
      <c r="BE38" s="32"/>
      <c r="BF38" s="32"/>
      <c r="BG38" s="32"/>
    </row>
    <row r="39" spans="2:59" ht="10" customHeight="1" x14ac:dyDescent="0.15">
      <c r="B39" s="107"/>
      <c r="C39" s="108"/>
      <c r="D39" s="108"/>
      <c r="E39" s="109"/>
      <c r="G39" s="36"/>
      <c r="H39" s="46" t="str">
        <f>INDEX(Skills!$A$1:$K$34,28,1)</f>
        <v>Culture</v>
      </c>
      <c r="I39" s="47"/>
      <c r="J39" s="47"/>
      <c r="K39" s="47"/>
      <c r="L39" s="47"/>
      <c r="M39" s="47"/>
      <c r="N39" s="42" t="str">
        <f>INDEX(Table2[[#Headers],[#Data]],28,11)</f>
        <v>1d10 + 0</v>
      </c>
      <c r="O39" s="42"/>
      <c r="P39" s="42"/>
      <c r="Q39" s="43"/>
      <c r="R39" s="36"/>
      <c r="S39" s="85" t="s">
        <v>219</v>
      </c>
      <c r="T39" s="68"/>
      <c r="U39" s="68"/>
      <c r="V39" s="68"/>
      <c r="W39" s="58" t="s">
        <v>37</v>
      </c>
      <c r="X39" s="68"/>
      <c r="Y39" s="69" t="str">
        <f>INDEX(RESISTANCES,ROW(A11),11)</f>
        <v>1d20 + 3</v>
      </c>
      <c r="Z39" s="68"/>
      <c r="AA39" s="68"/>
      <c r="AB39" s="86"/>
      <c r="AC39" s="36"/>
      <c r="AD39" s="36"/>
      <c r="AE39" s="91" t="str">
        <f>"Charisma: " &amp; Statistics!O5</f>
        <v>Charisma: 1d10 + 0</v>
      </c>
      <c r="AF39" s="91"/>
      <c r="AG39" s="91"/>
      <c r="AH39" s="91"/>
      <c r="AI39" s="91"/>
      <c r="AJ39" s="91"/>
      <c r="AK39" s="91"/>
      <c r="AL39" s="91"/>
      <c r="AM39" s="91"/>
      <c r="AN39" s="91"/>
      <c r="AO39" s="91"/>
      <c r="AP39" s="91"/>
      <c r="AQ39" s="91"/>
      <c r="AR39" s="91"/>
      <c r="AS39" s="91"/>
      <c r="AT39" s="91"/>
      <c r="AU39" s="91"/>
      <c r="AV39" s="91"/>
      <c r="AW39" s="91"/>
      <c r="BA39" s="32"/>
      <c r="BB39" s="32"/>
      <c r="BC39" s="32"/>
      <c r="BD39" s="32"/>
      <c r="BE39" s="32"/>
      <c r="BF39" s="32"/>
      <c r="BG39" s="32"/>
    </row>
    <row r="40" spans="2:59" ht="10" customHeight="1" thickBot="1" x14ac:dyDescent="0.2">
      <c r="B40" s="34"/>
      <c r="C40" s="117">
        <f>PER_TOTAL</f>
        <v>15</v>
      </c>
      <c r="D40" s="118"/>
      <c r="E40" s="35"/>
      <c r="G40" s="36"/>
      <c r="H40" s="46"/>
      <c r="Q40" s="43"/>
      <c r="R40" s="36"/>
      <c r="S40" s="46"/>
      <c r="AB40" s="43"/>
      <c r="AC40" s="36"/>
      <c r="AD40" s="36"/>
      <c r="AE40" s="91" t="str">
        <f>"Perception: " &amp; Statistics!O6</f>
        <v>Perception: 1d10 + 0</v>
      </c>
      <c r="AF40" s="91"/>
      <c r="AG40" s="91"/>
      <c r="AH40" s="91"/>
      <c r="AI40" s="91"/>
      <c r="AJ40" s="91"/>
      <c r="AK40" s="91"/>
      <c r="AL40" s="91"/>
      <c r="AM40" s="91"/>
      <c r="AN40" s="91"/>
      <c r="AO40" s="91"/>
      <c r="AP40" s="91"/>
      <c r="AQ40" s="91"/>
      <c r="AR40" s="91"/>
      <c r="AS40" s="91"/>
      <c r="AT40" s="91"/>
      <c r="AU40" s="91"/>
      <c r="AV40" s="91"/>
      <c r="AW40" s="91"/>
      <c r="BA40" s="32"/>
      <c r="BB40" s="32"/>
      <c r="BC40" s="32"/>
      <c r="BD40" s="32"/>
      <c r="BE40" s="32"/>
      <c r="BF40" s="32"/>
      <c r="BG40" s="32"/>
    </row>
    <row r="41" spans="2:59" ht="10" customHeight="1" x14ac:dyDescent="0.2">
      <c r="B41" s="33"/>
      <c r="C41" s="119"/>
      <c r="D41" s="120"/>
      <c r="E41" s="32"/>
      <c r="G41" s="36"/>
      <c r="H41" s="46"/>
      <c r="I41" s="36"/>
      <c r="J41" s="36"/>
      <c r="K41" s="36"/>
      <c r="L41" s="36"/>
      <c r="M41" s="36"/>
      <c r="N41" s="36"/>
      <c r="O41" s="36"/>
      <c r="P41" s="36"/>
      <c r="Q41" s="43"/>
      <c r="R41" s="36"/>
      <c r="S41" s="46"/>
      <c r="AB41" s="43"/>
      <c r="AC41" s="36"/>
      <c r="AD41" s="36"/>
      <c r="AE41" s="82"/>
      <c r="AF41" s="82"/>
      <c r="AG41" s="82"/>
      <c r="AH41" s="82"/>
      <c r="AI41" s="82"/>
      <c r="AJ41" s="87"/>
      <c r="AK41" s="87"/>
      <c r="AL41" s="87"/>
      <c r="AM41" s="87"/>
      <c r="AN41" s="82"/>
      <c r="AO41" s="82"/>
      <c r="AP41" s="82"/>
      <c r="AQ41" s="82"/>
      <c r="AR41" s="82"/>
      <c r="AS41" s="82"/>
      <c r="AT41" s="82"/>
      <c r="AU41" s="82"/>
      <c r="AV41" s="82"/>
      <c r="AW41" s="82"/>
      <c r="BA41" s="32"/>
      <c r="BB41" s="32"/>
      <c r="BC41" s="32"/>
      <c r="BD41" s="32"/>
      <c r="BE41" s="32"/>
      <c r="BF41" s="32"/>
      <c r="BG41" s="32"/>
    </row>
    <row r="42" spans="2:59" ht="10" customHeight="1" x14ac:dyDescent="0.2">
      <c r="G42" s="36"/>
      <c r="H42" s="92" t="s">
        <v>61</v>
      </c>
      <c r="I42" s="93"/>
      <c r="J42" s="93"/>
      <c r="K42" s="93"/>
      <c r="L42" s="93"/>
      <c r="M42" s="93"/>
      <c r="N42" s="93"/>
      <c r="O42" s="93"/>
      <c r="P42" s="93"/>
      <c r="Q42" s="94"/>
      <c r="R42" s="36"/>
      <c r="S42" s="92" t="s">
        <v>63</v>
      </c>
      <c r="T42" s="93"/>
      <c r="U42" s="93"/>
      <c r="V42" s="93"/>
      <c r="W42" s="93"/>
      <c r="X42" s="93"/>
      <c r="Y42" s="93"/>
      <c r="Z42" s="93"/>
      <c r="AA42" s="93"/>
      <c r="AB42" s="94"/>
      <c r="AC42" s="36"/>
      <c r="AD42" s="36"/>
      <c r="AE42" s="82"/>
      <c r="AF42" s="82"/>
      <c r="AG42" s="82"/>
      <c r="AH42" s="82"/>
      <c r="AI42" s="82"/>
      <c r="AJ42" s="87"/>
      <c r="AK42" s="87"/>
      <c r="AL42" s="87"/>
      <c r="AM42" s="87"/>
      <c r="AN42" s="82"/>
      <c r="AO42" s="82"/>
      <c r="AP42" s="82"/>
      <c r="AQ42" s="82"/>
      <c r="AR42" s="82"/>
      <c r="AS42" s="82"/>
      <c r="AT42" s="82"/>
      <c r="AU42" s="82"/>
      <c r="AV42" s="82"/>
      <c r="AW42" s="82"/>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89" t="s">
        <v>223</v>
      </c>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row>
    <row r="45" spans="2:59" ht="10" customHeight="1" x14ac:dyDescent="0.2">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row>
    <row r="46" spans="2:59" ht="10" customHeight="1" x14ac:dyDescent="0.2">
      <c r="AT46" s="36"/>
      <c r="AU46" s="36"/>
      <c r="AV46" s="36"/>
      <c r="AW46" s="36"/>
    </row>
    <row r="47" spans="2:59" ht="10" customHeight="1" x14ac:dyDescent="0.15">
      <c r="B47" s="88" t="s">
        <v>265</v>
      </c>
      <c r="C47" s="88"/>
      <c r="D47" s="88"/>
      <c r="E47" s="88"/>
      <c r="F47" s="88"/>
      <c r="G47" s="88"/>
      <c r="I47" s="36"/>
      <c r="J47" s="88" t="s">
        <v>267</v>
      </c>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15">
      <c r="B48" s="88" t="s">
        <v>265</v>
      </c>
      <c r="C48" s="88"/>
      <c r="D48" s="88"/>
      <c r="E48" s="88"/>
      <c r="F48" s="88"/>
      <c r="G48" s="88"/>
      <c r="I48" s="36"/>
      <c r="J48" s="88" t="s">
        <v>268</v>
      </c>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15">
      <c r="B49" s="88" t="s">
        <v>272</v>
      </c>
      <c r="C49" s="88"/>
      <c r="D49" s="88"/>
      <c r="E49" s="88"/>
      <c r="F49" s="88"/>
      <c r="G49" s="88"/>
      <c r="I49" s="36"/>
      <c r="J49" s="88" t="s">
        <v>273</v>
      </c>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15">
      <c r="B50" s="88" t="s">
        <v>272</v>
      </c>
      <c r="C50" s="88"/>
      <c r="D50" s="88"/>
      <c r="E50" s="88"/>
      <c r="F50" s="88"/>
      <c r="G50" s="88"/>
      <c r="I50" s="36"/>
      <c r="J50" s="88" t="s">
        <v>274</v>
      </c>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15">
      <c r="B51" s="88" t="s">
        <v>290</v>
      </c>
      <c r="C51" s="88"/>
      <c r="D51" s="88"/>
      <c r="E51" s="88"/>
      <c r="F51" s="88"/>
      <c r="G51" s="88"/>
      <c r="I51" s="36"/>
      <c r="J51" s="88" t="s">
        <v>331</v>
      </c>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15">
      <c r="B52" s="88"/>
      <c r="C52" s="88"/>
      <c r="D52" s="88"/>
      <c r="E52" s="88"/>
      <c r="F52" s="88"/>
      <c r="G52" s="88"/>
      <c r="I52" s="36"/>
      <c r="J52" s="88" t="s">
        <v>332</v>
      </c>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15">
      <c r="B53" s="88"/>
      <c r="C53" s="88"/>
      <c r="D53" s="88"/>
      <c r="E53" s="88"/>
      <c r="F53" s="88"/>
      <c r="G53" s="88"/>
      <c r="I53" s="36"/>
      <c r="J53" s="88" t="s">
        <v>333</v>
      </c>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15">
      <c r="B54" s="88" t="s">
        <v>290</v>
      </c>
      <c r="C54" s="88"/>
      <c r="D54" s="88"/>
      <c r="E54" s="88"/>
      <c r="F54" s="88"/>
      <c r="G54" s="88"/>
      <c r="I54" s="36"/>
      <c r="J54" s="88" t="s">
        <v>334</v>
      </c>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15">
      <c r="B55" s="88"/>
      <c r="C55" s="88"/>
      <c r="D55" s="88"/>
      <c r="E55" s="88"/>
      <c r="F55" s="88"/>
      <c r="G55" s="88"/>
      <c r="I55" s="36"/>
      <c r="J55" s="88" t="s">
        <v>335</v>
      </c>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15">
      <c r="B56" s="88" t="s">
        <v>290</v>
      </c>
      <c r="C56" s="88"/>
      <c r="D56" s="88"/>
      <c r="E56" s="88"/>
      <c r="F56" s="88"/>
      <c r="G56" s="88"/>
      <c r="I56" s="36"/>
      <c r="J56" s="88" t="s">
        <v>336</v>
      </c>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15">
      <c r="B57" s="88"/>
      <c r="C57" s="88"/>
      <c r="D57" s="88"/>
      <c r="E57" s="88"/>
      <c r="F57" s="88"/>
      <c r="G57" s="88"/>
      <c r="I57" s="36"/>
      <c r="J57" s="88" t="s">
        <v>337</v>
      </c>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15">
      <c r="B58" s="88" t="s">
        <v>295</v>
      </c>
      <c r="C58" s="88"/>
      <c r="D58" s="88"/>
      <c r="E58" s="88"/>
      <c r="F58" s="88"/>
      <c r="G58" s="88"/>
      <c r="I58" s="36"/>
      <c r="J58" s="88" t="s">
        <v>338</v>
      </c>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15">
      <c r="B59" s="88"/>
      <c r="C59" s="88"/>
      <c r="D59" s="88"/>
      <c r="E59" s="88"/>
      <c r="F59" s="88"/>
      <c r="G59" s="88"/>
      <c r="I59" s="36"/>
      <c r="J59" s="88" t="s">
        <v>339</v>
      </c>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15">
      <c r="B60" s="88" t="s">
        <v>302</v>
      </c>
      <c r="C60" s="88"/>
      <c r="D60" s="88"/>
      <c r="E60" s="88"/>
      <c r="F60" s="88"/>
      <c r="G60" s="88"/>
      <c r="I60" s="36"/>
      <c r="J60" s="88" t="s">
        <v>340</v>
      </c>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15">
      <c r="B61" s="88"/>
      <c r="C61" s="88"/>
      <c r="D61" s="88"/>
      <c r="E61" s="88"/>
      <c r="F61" s="88"/>
      <c r="G61" s="88"/>
      <c r="I61" s="36"/>
      <c r="J61" s="88" t="s">
        <v>341</v>
      </c>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15">
      <c r="B62" s="88" t="s">
        <v>308</v>
      </c>
      <c r="C62" s="88"/>
      <c r="D62" s="88"/>
      <c r="E62" s="88"/>
      <c r="F62" s="88"/>
      <c r="G62" s="88"/>
      <c r="I62" s="36"/>
      <c r="J62" s="88" t="s">
        <v>313</v>
      </c>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15">
      <c r="B63" s="88" t="s">
        <v>314</v>
      </c>
      <c r="C63" s="88"/>
      <c r="D63" s="88"/>
      <c r="E63" s="88"/>
      <c r="F63" s="88"/>
      <c r="G63" s="88"/>
      <c r="I63" s="36"/>
      <c r="J63" s="88" t="s">
        <v>315</v>
      </c>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row>
    <row r="76" spans="2:49" ht="10" customHeight="1" x14ac:dyDescent="0.2">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row>
    <row r="77" spans="2:49" ht="10" customHeight="1" x14ac:dyDescent="0.2">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row>
    <row r="78" spans="2:49" ht="10" customHeight="1" x14ac:dyDescent="0.2">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row>
    <row r="79" spans="2:49" ht="10" customHeight="1" x14ac:dyDescent="0.2">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row>
    <row r="80" spans="2:49" ht="10" customHeight="1" x14ac:dyDescent="0.2">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row>
    <row r="81" spans="2:49" ht="10" customHeight="1" x14ac:dyDescent="0.2">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row>
    <row r="82" spans="2:49" ht="10" customHeight="1" x14ac:dyDescent="0.2"/>
    <row r="83" spans="2:49" ht="10" customHeight="1" x14ac:dyDescent="0.2"/>
    <row r="84" spans="2:49" ht="10" customHeight="1" x14ac:dyDescent="0.2"/>
    <row r="85" spans="2:49" ht="10" customHeight="1" x14ac:dyDescent="0.2"/>
    <row r="86" spans="2:49" ht="10" customHeight="1" x14ac:dyDescent="0.2"/>
    <row r="87" spans="2:49" ht="10" customHeight="1" x14ac:dyDescent="0.2"/>
    <row r="88" spans="2:49" ht="10" customHeight="1" x14ac:dyDescent="0.2"/>
    <row r="89" spans="2:49" ht="10" customHeight="1" x14ac:dyDescent="0.2"/>
    <row r="90" spans="2:49" ht="10" customHeight="1" x14ac:dyDescent="0.2"/>
    <row r="91" spans="2:49" ht="10" customHeight="1" x14ac:dyDescent="0.2"/>
    <row r="92" spans="2:49" ht="10" customHeight="1" x14ac:dyDescent="0.2"/>
    <row r="93" spans="2:49" ht="10" customHeight="1" x14ac:dyDescent="0.2"/>
    <row r="94" spans="2:49" ht="10" customHeight="1" x14ac:dyDescent="0.2"/>
    <row r="95" spans="2:49" ht="10" customHeight="1" x14ac:dyDescent="0.2"/>
    <row r="96" spans="2:49"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0" customHeight="1" x14ac:dyDescent="0.2"/>
    <row r="210" ht="10" customHeight="1" x14ac:dyDescent="0.2"/>
    <row r="211" ht="10" customHeight="1" x14ac:dyDescent="0.2"/>
    <row r="212" ht="10" customHeight="1" x14ac:dyDescent="0.2"/>
    <row r="213" ht="10" customHeight="1" x14ac:dyDescent="0.2"/>
    <row r="214" ht="10"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row r="292" ht="16" customHeight="1" x14ac:dyDescent="0.2"/>
    <row r="293" ht="16" customHeight="1" x14ac:dyDescent="0.2"/>
    <row r="294" ht="16" customHeight="1" x14ac:dyDescent="0.2"/>
    <row r="295" ht="16" customHeight="1" x14ac:dyDescent="0.2"/>
    <row r="296" ht="16" customHeight="1" x14ac:dyDescent="0.2"/>
    <row r="297" ht="16" customHeight="1" x14ac:dyDescent="0.2"/>
  </sheetData>
  <mergeCells count="53">
    <mergeCell ref="C12:D13"/>
    <mergeCell ref="B9:E11"/>
    <mergeCell ref="B15:E15"/>
    <mergeCell ref="B16:E18"/>
    <mergeCell ref="B44:AW45"/>
    <mergeCell ref="B22:E22"/>
    <mergeCell ref="B23:E25"/>
    <mergeCell ref="C26:D27"/>
    <mergeCell ref="B29:E29"/>
    <mergeCell ref="C40:D41"/>
    <mergeCell ref="S28:AB28"/>
    <mergeCell ref="S42:AB42"/>
    <mergeCell ref="C19:D20"/>
    <mergeCell ref="B30:E32"/>
    <mergeCell ref="C33:D34"/>
    <mergeCell ref="B36:E36"/>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H42:Q42"/>
    <mergeCell ref="AE22:AW23"/>
    <mergeCell ref="AB9:AE11"/>
    <mergeCell ref="AG9:AJ11"/>
    <mergeCell ref="AS2:AV5"/>
    <mergeCell ref="AS6:AV6"/>
    <mergeCell ref="AN2:AQ5"/>
    <mergeCell ref="AN6:AQ6"/>
    <mergeCell ref="AG8:AJ8"/>
    <mergeCell ref="AQ8:AT8"/>
    <mergeCell ref="AL8:AO8"/>
    <mergeCell ref="AE40:AW40"/>
    <mergeCell ref="W9:Z11"/>
    <mergeCell ref="R9:U11"/>
    <mergeCell ref="M9:P11"/>
    <mergeCell ref="AE16:AW16"/>
    <mergeCell ref="AE33:AW34"/>
    <mergeCell ref="AE36:AW36"/>
    <mergeCell ref="AE37:AW37"/>
    <mergeCell ref="AE38:AW38"/>
    <mergeCell ref="AE39:AW39"/>
  </mergeCells>
  <dataValidations count="1">
    <dataValidation type="list" allowBlank="1" showInputMessage="1" showErrorMessage="1" sqref="F47:F63" xr:uid="{AFC9E504-9A43-2C48-AB90-77131424A04C}">
      <formula1>Yes_No</formula1>
    </dataValidation>
  </dataValidation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row>
    <row r="2" spans="1:21" x14ac:dyDescent="0.25">
      <c r="A2" s="1" t="s">
        <v>137</v>
      </c>
      <c r="B2" s="2">
        <v>0</v>
      </c>
      <c r="C2" s="2">
        <v>0</v>
      </c>
      <c r="D2" s="2">
        <v>0</v>
      </c>
      <c r="E2" s="2">
        <v>0</v>
      </c>
      <c r="F2" s="2">
        <v>0</v>
      </c>
      <c r="G2" s="2">
        <v>0</v>
      </c>
      <c r="H2" s="2">
        <v>0</v>
      </c>
      <c r="I2" s="2"/>
      <c r="J2" s="2"/>
      <c r="K2" s="2"/>
      <c r="L2" s="2"/>
      <c r="M2" s="2"/>
      <c r="N2" s="2"/>
      <c r="O2" s="2"/>
      <c r="P2" s="2"/>
      <c r="Q2" s="2"/>
      <c r="R2" s="2"/>
    </row>
    <row r="3" spans="1:21" x14ac:dyDescent="0.25">
      <c r="A3" s="1" t="s">
        <v>88</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89</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90</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91</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92</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93</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94</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95</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96</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97</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99</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c r="T1" s="1" t="s">
        <v>98</v>
      </c>
    </row>
    <row r="2" spans="1:20" x14ac:dyDescent="0.25">
      <c r="A2" s="1" t="s">
        <v>137</v>
      </c>
      <c r="B2" s="2">
        <v>0</v>
      </c>
      <c r="C2" s="2">
        <v>0</v>
      </c>
      <c r="D2" s="2">
        <v>0</v>
      </c>
      <c r="E2" s="2">
        <v>0</v>
      </c>
      <c r="F2" s="2">
        <v>0</v>
      </c>
      <c r="G2" s="2">
        <v>1</v>
      </c>
      <c r="H2" s="2">
        <v>0</v>
      </c>
    </row>
    <row r="3" spans="1:20" x14ac:dyDescent="0.25">
      <c r="A3" s="1" t="s">
        <v>77</v>
      </c>
      <c r="B3" s="2">
        <v>18</v>
      </c>
      <c r="C3" s="2">
        <v>8</v>
      </c>
      <c r="D3" s="2">
        <v>0</v>
      </c>
      <c r="E3" s="2">
        <v>4</v>
      </c>
      <c r="F3" s="2">
        <v>4</v>
      </c>
      <c r="G3" s="2">
        <v>2</v>
      </c>
      <c r="H3" s="2">
        <v>10</v>
      </c>
      <c r="T3" s="1">
        <f>SUM(Table7[[#This Row],[STR]:[PER]])</f>
        <v>34</v>
      </c>
    </row>
    <row r="4" spans="1:20" x14ac:dyDescent="0.25">
      <c r="A4" s="1" t="s">
        <v>78</v>
      </c>
      <c r="B4" s="2">
        <v>26</v>
      </c>
      <c r="C4" s="2">
        <v>0</v>
      </c>
      <c r="D4" s="2">
        <v>0</v>
      </c>
      <c r="E4" s="2">
        <v>0</v>
      </c>
      <c r="F4" s="2">
        <v>8</v>
      </c>
      <c r="G4" s="2">
        <v>2</v>
      </c>
      <c r="H4" s="2">
        <v>10</v>
      </c>
      <c r="T4" s="1">
        <f>SUM(Table7[[#This Row],[STR]:[PER]])</f>
        <v>34</v>
      </c>
    </row>
    <row r="5" spans="1:20" x14ac:dyDescent="0.25">
      <c r="A5" s="1" t="s">
        <v>79</v>
      </c>
      <c r="B5" s="2">
        <v>20</v>
      </c>
      <c r="C5" s="2">
        <v>6</v>
      </c>
      <c r="D5" s="2">
        <v>4</v>
      </c>
      <c r="E5" s="2">
        <v>4</v>
      </c>
      <c r="F5" s="2">
        <v>0</v>
      </c>
      <c r="G5" s="2">
        <v>2</v>
      </c>
      <c r="H5" s="2">
        <v>10</v>
      </c>
      <c r="T5" s="1">
        <f>SUM(Table7[[#This Row],[STR]:[PER]])</f>
        <v>34</v>
      </c>
    </row>
    <row r="6" spans="1:20" x14ac:dyDescent="0.25">
      <c r="A6" s="1" t="s">
        <v>185</v>
      </c>
      <c r="B6" s="2">
        <v>2</v>
      </c>
      <c r="C6" s="2">
        <v>20</v>
      </c>
      <c r="D6" s="2">
        <v>4</v>
      </c>
      <c r="E6" s="2">
        <v>0</v>
      </c>
      <c r="F6" s="2">
        <v>8</v>
      </c>
      <c r="G6" s="2">
        <v>1</v>
      </c>
      <c r="H6" s="2">
        <v>10</v>
      </c>
      <c r="T6" s="1">
        <f>SUM(Table7[[#This Row],[STR]:[PER]])</f>
        <v>34</v>
      </c>
    </row>
    <row r="7" spans="1:20" x14ac:dyDescent="0.25">
      <c r="A7" s="1" t="s">
        <v>186</v>
      </c>
      <c r="B7" s="2">
        <v>0</v>
      </c>
      <c r="C7" s="2">
        <v>4</v>
      </c>
      <c r="D7" s="2">
        <v>20</v>
      </c>
      <c r="E7" s="2">
        <v>5</v>
      </c>
      <c r="F7" s="2">
        <v>5</v>
      </c>
      <c r="G7" s="2">
        <v>1</v>
      </c>
      <c r="H7" s="2">
        <v>10</v>
      </c>
      <c r="T7" s="1">
        <f>SUM(Table7[[#This Row],[STR]:[PER]])</f>
        <v>34</v>
      </c>
    </row>
    <row r="8" spans="1:20" x14ac:dyDescent="0.25">
      <c r="A8" s="1" t="s">
        <v>187</v>
      </c>
      <c r="B8" s="2">
        <v>15</v>
      </c>
      <c r="C8" s="2">
        <v>15</v>
      </c>
      <c r="D8" s="2">
        <v>0</v>
      </c>
      <c r="E8" s="2">
        <v>4</v>
      </c>
      <c r="F8" s="2">
        <v>0</v>
      </c>
      <c r="G8" s="2">
        <v>1</v>
      </c>
      <c r="H8" s="2">
        <v>10</v>
      </c>
      <c r="T8" s="1">
        <f>SUM(Table7[[#This Row],[STR]:[PER]])</f>
        <v>34</v>
      </c>
    </row>
    <row r="9" spans="1:20" x14ac:dyDescent="0.25">
      <c r="A9" s="1" t="s">
        <v>188</v>
      </c>
      <c r="B9" s="2">
        <v>17</v>
      </c>
      <c r="C9" s="2">
        <v>0</v>
      </c>
      <c r="D9" s="2">
        <v>0</v>
      </c>
      <c r="E9" s="2">
        <v>17</v>
      </c>
      <c r="F9" s="2">
        <v>0</v>
      </c>
      <c r="G9" s="2">
        <v>2</v>
      </c>
      <c r="H9" s="2">
        <v>10</v>
      </c>
      <c r="T9" s="1">
        <f>SUM(Table7[[#This Row],[STR]:[PER]])</f>
        <v>34</v>
      </c>
    </row>
    <row r="10" spans="1:20" x14ac:dyDescent="0.25">
      <c r="A10" s="1" t="s">
        <v>189</v>
      </c>
      <c r="B10" s="2">
        <v>6</v>
      </c>
      <c r="C10" s="2">
        <v>7</v>
      </c>
      <c r="D10" s="2">
        <v>7</v>
      </c>
      <c r="E10" s="2">
        <v>7</v>
      </c>
      <c r="F10" s="2">
        <v>7</v>
      </c>
      <c r="G10" s="2">
        <v>1</v>
      </c>
      <c r="H10" s="2">
        <v>10</v>
      </c>
      <c r="T10" s="1">
        <f>SUM(Table7[[#This Row],[STR]:[PER]])</f>
        <v>34</v>
      </c>
    </row>
    <row r="11" spans="1:20" x14ac:dyDescent="0.25">
      <c r="A11" s="1" t="s">
        <v>190</v>
      </c>
      <c r="B11" s="2">
        <v>10</v>
      </c>
      <c r="C11" s="2">
        <v>0</v>
      </c>
      <c r="D11" s="2">
        <v>18</v>
      </c>
      <c r="E11" s="2">
        <v>6</v>
      </c>
      <c r="F11" s="2">
        <v>0</v>
      </c>
      <c r="G11" s="2">
        <v>1</v>
      </c>
      <c r="H11" s="2">
        <v>10</v>
      </c>
      <c r="T11" s="1">
        <f>SUM(Table7[[#This Row],[STR]:[PER]])</f>
        <v>34</v>
      </c>
    </row>
    <row r="12" spans="1:20" x14ac:dyDescent="0.25">
      <c r="A12" s="1" t="s">
        <v>191</v>
      </c>
      <c r="B12" s="2">
        <v>0</v>
      </c>
      <c r="C12" s="2">
        <v>10</v>
      </c>
      <c r="D12" s="2">
        <v>18</v>
      </c>
      <c r="E12" s="2">
        <v>6</v>
      </c>
      <c r="F12" s="2">
        <v>0</v>
      </c>
      <c r="G12" s="2">
        <v>1</v>
      </c>
      <c r="H12" s="2">
        <v>10</v>
      </c>
      <c r="T12" s="1">
        <f>SUM(Table7[[#This Row],[STR]:[PER]])</f>
        <v>34</v>
      </c>
    </row>
    <row r="13" spans="1:20" x14ac:dyDescent="0.25">
      <c r="A13" s="1" t="s">
        <v>192</v>
      </c>
      <c r="B13" s="2">
        <v>0</v>
      </c>
      <c r="C13" s="2">
        <v>10</v>
      </c>
      <c r="D13" s="2">
        <v>18</v>
      </c>
      <c r="E13" s="2">
        <v>6</v>
      </c>
      <c r="F13" s="2">
        <v>0</v>
      </c>
      <c r="G13" s="2">
        <v>1</v>
      </c>
      <c r="H13" s="2">
        <v>10</v>
      </c>
      <c r="T13" s="1">
        <f>SUM(Table7[[#This Row],[STR]:[PER]])</f>
        <v>34</v>
      </c>
    </row>
    <row r="14" spans="1:20" x14ac:dyDescent="0.25">
      <c r="A14" s="1" t="s">
        <v>193</v>
      </c>
      <c r="B14" s="2">
        <v>13</v>
      </c>
      <c r="C14" s="2">
        <v>0</v>
      </c>
      <c r="D14" s="2">
        <v>15</v>
      </c>
      <c r="E14" s="2">
        <v>6</v>
      </c>
      <c r="F14" s="2">
        <v>0</v>
      </c>
      <c r="G14" s="2">
        <v>1</v>
      </c>
      <c r="H14" s="2">
        <v>10</v>
      </c>
      <c r="T14" s="1">
        <f>SUM(Table7[[#This Row],[STR]:[PER]])</f>
        <v>34</v>
      </c>
    </row>
    <row r="15" spans="1:20" x14ac:dyDescent="0.25">
      <c r="A15" s="1" t="s">
        <v>194</v>
      </c>
      <c r="B15" s="2">
        <v>8</v>
      </c>
      <c r="C15" s="2">
        <v>5</v>
      </c>
      <c r="D15" s="2">
        <v>15</v>
      </c>
      <c r="E15" s="2">
        <v>0</v>
      </c>
      <c r="F15" s="2">
        <v>6</v>
      </c>
      <c r="G15" s="2">
        <v>1</v>
      </c>
      <c r="H15" s="2">
        <v>10</v>
      </c>
      <c r="T15" s="1">
        <f>SUM(Table7[[#This Row],[STR]:[PER]])</f>
        <v>34</v>
      </c>
    </row>
    <row r="16" spans="1:20" x14ac:dyDescent="0.25">
      <c r="A16" s="1" t="s">
        <v>195</v>
      </c>
      <c r="B16" s="2">
        <v>10</v>
      </c>
      <c r="C16" s="2">
        <v>0</v>
      </c>
      <c r="D16" s="2">
        <v>18</v>
      </c>
      <c r="E16" s="2">
        <v>6</v>
      </c>
      <c r="F16" s="2">
        <v>0</v>
      </c>
      <c r="G16" s="2">
        <v>1</v>
      </c>
      <c r="H16" s="2">
        <v>10</v>
      </c>
      <c r="T16" s="1">
        <f>SUM(Table7[[#This Row],[STR]:[PER]])</f>
        <v>34</v>
      </c>
    </row>
    <row r="17" spans="1:20" x14ac:dyDescent="0.25">
      <c r="A17" s="1" t="s">
        <v>196</v>
      </c>
      <c r="B17" s="2">
        <v>20</v>
      </c>
      <c r="C17" s="2">
        <v>0</v>
      </c>
      <c r="D17" s="2">
        <v>8</v>
      </c>
      <c r="E17" s="2">
        <v>6</v>
      </c>
      <c r="F17" s="2">
        <v>0</v>
      </c>
      <c r="G17" s="2">
        <v>1</v>
      </c>
      <c r="H17" s="2">
        <v>10</v>
      </c>
      <c r="T17" s="1">
        <f>SUM(Table7[[#This Row],[STR]:[PER]])</f>
        <v>34</v>
      </c>
    </row>
    <row r="18" spans="1:20" x14ac:dyDescent="0.25">
      <c r="A18" s="1" t="s">
        <v>197</v>
      </c>
      <c r="B18" s="2">
        <v>8</v>
      </c>
      <c r="C18" s="2">
        <v>0</v>
      </c>
      <c r="D18" s="2">
        <v>20</v>
      </c>
      <c r="E18" s="2">
        <v>6</v>
      </c>
      <c r="F18" s="2">
        <v>0</v>
      </c>
      <c r="G18" s="2">
        <v>1</v>
      </c>
      <c r="H18" s="2">
        <v>10</v>
      </c>
      <c r="T18" s="1">
        <f>SUM(Table7[[#This Row],[STR]:[PER]])</f>
        <v>34</v>
      </c>
    </row>
    <row r="19" spans="1:20" x14ac:dyDescent="0.25">
      <c r="A19" s="1" t="s">
        <v>198</v>
      </c>
      <c r="B19" s="2">
        <v>10</v>
      </c>
      <c r="C19" s="2">
        <v>0</v>
      </c>
      <c r="D19" s="2">
        <v>0</v>
      </c>
      <c r="E19" s="2">
        <v>24</v>
      </c>
      <c r="F19" s="2">
        <v>0</v>
      </c>
      <c r="G19" s="2">
        <v>2</v>
      </c>
      <c r="H19" s="2">
        <v>10</v>
      </c>
      <c r="T19" s="1">
        <f>SUM(Table7[[#This Row],[STR]:[PER]])</f>
        <v>34</v>
      </c>
    </row>
    <row r="20" spans="1:20" x14ac:dyDescent="0.25">
      <c r="A20" s="1" t="s">
        <v>199</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51</v>
      </c>
      <c r="B1" s="8" t="s">
        <v>57</v>
      </c>
      <c r="C1" s="23" t="s">
        <v>68</v>
      </c>
      <c r="E1" s="8" t="s">
        <v>101</v>
      </c>
      <c r="F1" s="8" t="s">
        <v>51</v>
      </c>
      <c r="G1" s="8" t="s">
        <v>109</v>
      </c>
      <c r="I1" s="9" t="s">
        <v>163</v>
      </c>
      <c r="J1" s="9" t="s">
        <v>120</v>
      </c>
      <c r="K1" s="9" t="s">
        <v>159</v>
      </c>
      <c r="L1" s="9" t="s">
        <v>117</v>
      </c>
      <c r="M1" s="9"/>
      <c r="O1" s="9" t="s">
        <v>163</v>
      </c>
      <c r="P1" s="9" t="s">
        <v>120</v>
      </c>
      <c r="Q1" s="9" t="s">
        <v>159</v>
      </c>
      <c r="R1" s="9" t="s">
        <v>117</v>
      </c>
      <c r="S1" s="9" t="s">
        <v>20</v>
      </c>
    </row>
    <row r="2" spans="1:19" x14ac:dyDescent="0.2">
      <c r="A2" s="8">
        <v>0</v>
      </c>
      <c r="B2" s="8">
        <v>0</v>
      </c>
      <c r="C2" s="8">
        <v>0</v>
      </c>
      <c r="E2" s="8">
        <v>1</v>
      </c>
      <c r="F2" s="8">
        <v>2</v>
      </c>
      <c r="G2" s="8">
        <v>3</v>
      </c>
      <c r="I2" t="s">
        <v>160</v>
      </c>
      <c r="J2" s="8">
        <v>0</v>
      </c>
      <c r="K2" s="8">
        <v>0</v>
      </c>
      <c r="L2" s="8">
        <v>0</v>
      </c>
      <c r="M2" s="8"/>
      <c r="O2" t="s">
        <v>164</v>
      </c>
      <c r="P2" s="8">
        <v>1</v>
      </c>
      <c r="Q2" s="8">
        <v>0</v>
      </c>
      <c r="R2" s="8">
        <v>0</v>
      </c>
      <c r="S2" s="8">
        <v>1</v>
      </c>
    </row>
    <row r="3" spans="1:19" x14ac:dyDescent="0.2">
      <c r="A3" s="8">
        <v>20</v>
      </c>
      <c r="B3" s="8">
        <v>1</v>
      </c>
      <c r="C3" s="8">
        <v>1</v>
      </c>
      <c r="E3" s="8">
        <v>2</v>
      </c>
      <c r="F3" s="8">
        <f>F2+G2</f>
        <v>5</v>
      </c>
      <c r="G3" s="8">
        <v>4</v>
      </c>
      <c r="I3" t="s">
        <v>151</v>
      </c>
      <c r="J3" s="8">
        <v>1</v>
      </c>
      <c r="K3" s="8">
        <v>-1</v>
      </c>
      <c r="L3" s="8">
        <v>-1</v>
      </c>
      <c r="M3" s="8"/>
      <c r="O3" t="s">
        <v>165</v>
      </c>
      <c r="P3" s="8">
        <v>1</v>
      </c>
      <c r="Q3" s="8">
        <v>-1</v>
      </c>
      <c r="R3" s="8">
        <v>-1</v>
      </c>
      <c r="S3" s="8">
        <v>2</v>
      </c>
    </row>
    <row r="4" spans="1:19" x14ac:dyDescent="0.2">
      <c r="A4" s="8">
        <v>25</v>
      </c>
      <c r="B4" s="8">
        <v>2</v>
      </c>
      <c r="C4" s="8">
        <v>1</v>
      </c>
      <c r="E4" s="8">
        <v>3</v>
      </c>
      <c r="F4" s="8">
        <f t="shared" ref="F4:F14" si="0">F3+G3</f>
        <v>9</v>
      </c>
      <c r="G4" s="8">
        <v>5</v>
      </c>
      <c r="I4" t="s">
        <v>161</v>
      </c>
      <c r="J4" s="8">
        <v>2</v>
      </c>
      <c r="K4" s="8">
        <v>-2</v>
      </c>
      <c r="L4" s="8">
        <v>-3</v>
      </c>
      <c r="M4" s="8"/>
      <c r="O4" t="s">
        <v>166</v>
      </c>
      <c r="P4" s="8">
        <v>2</v>
      </c>
      <c r="Q4" s="8">
        <v>-2</v>
      </c>
      <c r="R4" s="8">
        <v>-2</v>
      </c>
      <c r="S4" s="8">
        <v>3</v>
      </c>
    </row>
    <row r="5" spans="1:19" x14ac:dyDescent="0.2">
      <c r="A5" s="8">
        <v>35</v>
      </c>
      <c r="B5" s="8">
        <v>3</v>
      </c>
      <c r="C5" s="8">
        <v>1</v>
      </c>
      <c r="E5" s="8">
        <v>4</v>
      </c>
      <c r="F5" s="8">
        <f t="shared" si="0"/>
        <v>14</v>
      </c>
      <c r="G5" s="8">
        <v>6</v>
      </c>
      <c r="I5" t="s">
        <v>162</v>
      </c>
      <c r="J5" s="8">
        <v>3</v>
      </c>
      <c r="K5" s="8">
        <v>-3</v>
      </c>
      <c r="L5" s="8">
        <v>-5</v>
      </c>
      <c r="M5" s="8"/>
      <c r="O5" t="s">
        <v>167</v>
      </c>
      <c r="P5" s="8">
        <v>3</v>
      </c>
      <c r="Q5" s="8">
        <v>-3</v>
      </c>
      <c r="R5" s="8">
        <v>-3</v>
      </c>
      <c r="S5" s="8">
        <v>4</v>
      </c>
    </row>
    <row r="6" spans="1:19" x14ac:dyDescent="0.2">
      <c r="A6" s="8">
        <v>50</v>
      </c>
      <c r="B6" s="8">
        <v>4</v>
      </c>
      <c r="C6" s="8">
        <v>2</v>
      </c>
      <c r="E6" s="8">
        <v>5</v>
      </c>
      <c r="F6" s="8">
        <f t="shared" si="0"/>
        <v>20</v>
      </c>
      <c r="G6" s="8">
        <v>7</v>
      </c>
      <c r="I6" t="s">
        <v>211</v>
      </c>
      <c r="J6" s="8">
        <v>0</v>
      </c>
      <c r="K6" s="8">
        <v>0</v>
      </c>
      <c r="L6" s="8">
        <v>0</v>
      </c>
      <c r="O6" t="s">
        <v>211</v>
      </c>
      <c r="P6" s="8">
        <v>0</v>
      </c>
      <c r="Q6" s="8">
        <v>0</v>
      </c>
      <c r="R6" s="8">
        <v>0</v>
      </c>
      <c r="S6" s="8">
        <v>0</v>
      </c>
    </row>
    <row r="7" spans="1:19" x14ac:dyDescent="0.2">
      <c r="A7" s="8">
        <v>70</v>
      </c>
      <c r="B7" s="8">
        <v>5</v>
      </c>
      <c r="C7" s="8">
        <v>2</v>
      </c>
      <c r="E7" s="8">
        <v>6</v>
      </c>
      <c r="F7" s="8">
        <f t="shared" si="0"/>
        <v>27</v>
      </c>
      <c r="G7" s="8">
        <v>8</v>
      </c>
      <c r="I7" t="s">
        <v>212</v>
      </c>
      <c r="J7" s="8">
        <v>0</v>
      </c>
      <c r="K7" s="8">
        <v>0</v>
      </c>
      <c r="L7" s="8">
        <v>0</v>
      </c>
      <c r="O7" t="s">
        <v>212</v>
      </c>
      <c r="P7" s="8">
        <v>0</v>
      </c>
      <c r="Q7" s="8">
        <v>0</v>
      </c>
      <c r="R7" s="8">
        <v>0</v>
      </c>
      <c r="S7" s="8">
        <v>0</v>
      </c>
    </row>
    <row r="8" spans="1:19" x14ac:dyDescent="0.2">
      <c r="A8" s="8">
        <v>95</v>
      </c>
      <c r="B8" s="8">
        <v>6</v>
      </c>
      <c r="C8" s="8">
        <v>2</v>
      </c>
      <c r="E8" s="8">
        <v>7</v>
      </c>
      <c r="F8" s="8">
        <f t="shared" si="0"/>
        <v>35</v>
      </c>
      <c r="G8" s="8">
        <v>9</v>
      </c>
      <c r="I8" t="s">
        <v>213</v>
      </c>
      <c r="J8" s="8">
        <v>0</v>
      </c>
      <c r="K8" s="8">
        <v>0</v>
      </c>
      <c r="L8" s="8">
        <v>0</v>
      </c>
      <c r="O8" t="s">
        <v>213</v>
      </c>
      <c r="P8" s="8">
        <v>0</v>
      </c>
      <c r="Q8" s="8">
        <v>0</v>
      </c>
      <c r="R8" s="8">
        <v>0</v>
      </c>
      <c r="S8" s="8">
        <v>0</v>
      </c>
    </row>
    <row r="9" spans="1:19" x14ac:dyDescent="0.2">
      <c r="A9" s="8">
        <v>125</v>
      </c>
      <c r="B9" s="8">
        <v>7</v>
      </c>
      <c r="C9" s="8">
        <v>3</v>
      </c>
      <c r="E9" s="8">
        <v>8</v>
      </c>
      <c r="F9" s="8">
        <f t="shared" si="0"/>
        <v>44</v>
      </c>
      <c r="G9" s="8">
        <v>10</v>
      </c>
      <c r="I9" t="s">
        <v>214</v>
      </c>
      <c r="J9" s="8">
        <v>0</v>
      </c>
      <c r="K9" s="8">
        <v>0</v>
      </c>
      <c r="L9" s="8">
        <v>0</v>
      </c>
      <c r="O9" t="s">
        <v>214</v>
      </c>
      <c r="P9" s="8">
        <v>0</v>
      </c>
      <c r="Q9" s="8">
        <v>0</v>
      </c>
      <c r="R9" s="8">
        <v>0</v>
      </c>
      <c r="S9" s="8">
        <v>0</v>
      </c>
    </row>
    <row r="10" spans="1:19" x14ac:dyDescent="0.2">
      <c r="A10" s="8">
        <v>160</v>
      </c>
      <c r="B10" s="8">
        <v>8</v>
      </c>
      <c r="C10" s="8">
        <v>3</v>
      </c>
      <c r="E10" s="8">
        <v>9</v>
      </c>
      <c r="F10" s="8">
        <f t="shared" si="0"/>
        <v>54</v>
      </c>
      <c r="G10" s="8">
        <v>11</v>
      </c>
      <c r="I10" t="s">
        <v>137</v>
      </c>
      <c r="J10" s="8">
        <v>0</v>
      </c>
      <c r="K10" s="8">
        <v>0</v>
      </c>
      <c r="L10" s="8">
        <v>0</v>
      </c>
      <c r="O10" t="s">
        <v>137</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74</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26</v>
      </c>
      <c r="C1" t="s">
        <v>163</v>
      </c>
    </row>
    <row r="2" spans="1:3" x14ac:dyDescent="0.2">
      <c r="A2" t="s">
        <v>27</v>
      </c>
      <c r="C2" t="s">
        <v>202</v>
      </c>
    </row>
    <row r="3" spans="1:3" x14ac:dyDescent="0.2">
      <c r="A3" t="s">
        <v>28</v>
      </c>
      <c r="C3" t="s">
        <v>203</v>
      </c>
    </row>
    <row r="4" spans="1:3" x14ac:dyDescent="0.2">
      <c r="C4"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J32" sqref="J32"/>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5" t="s">
        <v>72</v>
      </c>
      <c r="J1" s="125"/>
      <c r="K1" s="125"/>
      <c r="L1" s="125"/>
      <c r="M1" s="125"/>
      <c r="N1" s="125"/>
      <c r="O1" s="11"/>
    </row>
    <row r="2" spans="1:19" x14ac:dyDescent="0.25">
      <c r="A2" s="12" t="s">
        <v>134</v>
      </c>
      <c r="B2" s="123" t="s">
        <v>344</v>
      </c>
      <c r="C2" s="124"/>
      <c r="E2" s="2"/>
      <c r="F2" s="2"/>
      <c r="G2" s="2"/>
      <c r="I2" s="125"/>
      <c r="J2" s="125"/>
      <c r="K2" s="125"/>
      <c r="L2" s="125"/>
      <c r="M2" s="125"/>
      <c r="N2" s="125"/>
      <c r="O2" s="11"/>
      <c r="Q2" s="1" t="s">
        <v>135</v>
      </c>
      <c r="R2" s="1" t="s">
        <v>51</v>
      </c>
      <c r="S2" s="1" t="s">
        <v>136</v>
      </c>
    </row>
    <row r="3" spans="1:19" x14ac:dyDescent="0.25">
      <c r="A3" s="13" t="s">
        <v>57</v>
      </c>
      <c r="B3" s="121">
        <f>VLOOKUP(TOTAL_XP,XP_LEVEL,2,TRUE)</f>
        <v>5</v>
      </c>
      <c r="C3" s="122"/>
      <c r="D3" s="7"/>
      <c r="E3" s="2"/>
      <c r="F3" s="2"/>
      <c r="G3" s="2"/>
      <c r="I3" s="14" t="s">
        <v>58</v>
      </c>
      <c r="J3" s="14" t="s">
        <v>59</v>
      </c>
      <c r="K3" s="14" t="s">
        <v>51</v>
      </c>
      <c r="L3" s="14" t="s">
        <v>48</v>
      </c>
      <c r="Q3" s="17"/>
      <c r="R3" s="10">
        <v>60</v>
      </c>
    </row>
    <row r="4" spans="1:19" x14ac:dyDescent="0.25">
      <c r="A4" s="12" t="s">
        <v>58</v>
      </c>
      <c r="B4" s="123" t="s">
        <v>89</v>
      </c>
      <c r="C4" s="124"/>
      <c r="E4" s="2"/>
      <c r="F4" s="2"/>
      <c r="G4" s="2"/>
      <c r="I4" s="6">
        <f>VLOOKUP(RACE,RACES,8,FALSE)</f>
        <v>10</v>
      </c>
      <c r="J4" s="6">
        <f>VLOOKUP(PROFESSION,PROFESSIONS,8,FALSE)</f>
        <v>10</v>
      </c>
      <c r="K4" s="6">
        <f>TOTAL_XP_EARNED</f>
        <v>60</v>
      </c>
      <c r="L4" s="6">
        <f>SUM(I4:K4)</f>
        <v>80</v>
      </c>
      <c r="Q4" s="17"/>
      <c r="R4" s="10"/>
    </row>
    <row r="5" spans="1:19" x14ac:dyDescent="0.25">
      <c r="A5" s="13" t="s">
        <v>52</v>
      </c>
      <c r="B5" s="121" t="s">
        <v>190</v>
      </c>
      <c r="C5" s="122"/>
      <c r="E5" s="2"/>
      <c r="F5" s="2"/>
      <c r="G5" s="2"/>
      <c r="Q5" s="17"/>
      <c r="R5" s="10"/>
    </row>
    <row r="6" spans="1:19" x14ac:dyDescent="0.25">
      <c r="A6" s="12" t="s">
        <v>68</v>
      </c>
      <c r="B6" s="123">
        <f>SUM(D6:E6)</f>
        <v>2</v>
      </c>
      <c r="C6" s="124"/>
      <c r="D6" s="2">
        <f>VLOOKUP(TOTAL_XP,XP_LEVEL,3,TRUE)</f>
        <v>2</v>
      </c>
      <c r="E6" s="2">
        <f>FEAT_EXPT</f>
        <v>0</v>
      </c>
      <c r="F6" s="2"/>
      <c r="G6" s="2"/>
      <c r="I6" s="14" t="s">
        <v>60</v>
      </c>
      <c r="J6" s="14" t="s">
        <v>61</v>
      </c>
      <c r="K6" s="14" t="s">
        <v>62</v>
      </c>
      <c r="L6" s="14" t="s">
        <v>64</v>
      </c>
      <c r="M6" s="14" t="s">
        <v>65</v>
      </c>
      <c r="N6" s="14" t="s">
        <v>223</v>
      </c>
      <c r="O6" s="14" t="s">
        <v>48</v>
      </c>
      <c r="Q6" s="17"/>
      <c r="R6" s="10"/>
    </row>
    <row r="7" spans="1:19" x14ac:dyDescent="0.25">
      <c r="A7" s="13" t="s">
        <v>100</v>
      </c>
      <c r="B7" s="121">
        <f>SUM(D7,F7) * IF(CHARACTER_LEVEL &gt; 0, CHARACTER_LEVEL, 1)</f>
        <v>110</v>
      </c>
      <c r="C7" s="122"/>
      <c r="D7" s="2">
        <f>STR * E7 + AGI + INU + CHA + PER</f>
        <v>16</v>
      </c>
      <c r="E7" s="2">
        <f>VLOOKUP(PROFESSION,PROFESSIONS,7,FALSE)</f>
        <v>1</v>
      </c>
      <c r="F7" s="2">
        <f>STAMINA</f>
        <v>6</v>
      </c>
      <c r="G7" s="2"/>
      <c r="I7" s="6">
        <f>Table1[[#Totals],[Code]]</f>
        <v>6</v>
      </c>
      <c r="J7" s="6">
        <f>Table2[[#Totals],[Statistic]]</f>
        <v>27</v>
      </c>
      <c r="K7" s="6">
        <f>FEAT_XP</f>
        <v>20</v>
      </c>
      <c r="L7" s="6">
        <f>RESISTANCES_XP</f>
        <v>8</v>
      </c>
      <c r="M7" s="6">
        <v>0</v>
      </c>
      <c r="N7" s="6">
        <f>SPELL_XP</f>
        <v>19</v>
      </c>
      <c r="O7" s="6">
        <f>SUM(I7:N7)</f>
        <v>80</v>
      </c>
      <c r="Q7" s="17"/>
      <c r="R7" s="10"/>
    </row>
    <row r="8" spans="1:19" x14ac:dyDescent="0.25">
      <c r="A8" s="12" t="s">
        <v>117</v>
      </c>
      <c r="B8" s="123">
        <f>SUM(D8:E8)</f>
        <v>8</v>
      </c>
      <c r="C8" s="124"/>
      <c r="D8" s="2">
        <v>10</v>
      </c>
      <c r="E8" s="2">
        <f>FEAT_MOVEMENT</f>
        <v>-2</v>
      </c>
      <c r="F8" s="2"/>
      <c r="G8" s="2"/>
      <c r="Q8" s="17"/>
      <c r="R8" s="10"/>
    </row>
    <row r="9" spans="1:19" x14ac:dyDescent="0.25">
      <c r="A9" s="13" t="s">
        <v>120</v>
      </c>
      <c r="B9" s="121">
        <f>FEAT_ARMOR</f>
        <v>8</v>
      </c>
      <c r="C9" s="122"/>
      <c r="E9" s="2"/>
      <c r="F9" s="2"/>
      <c r="G9" s="2"/>
      <c r="I9" s="15" t="s">
        <v>73</v>
      </c>
      <c r="K9" s="16">
        <f>L4-O7</f>
        <v>0</v>
      </c>
      <c r="Q9" s="17"/>
      <c r="R9" s="10"/>
    </row>
    <row r="10" spans="1:19" x14ac:dyDescent="0.25">
      <c r="A10" s="12" t="s">
        <v>121</v>
      </c>
      <c r="B10" s="123">
        <f>FEAT_AURA</f>
        <v>9</v>
      </c>
      <c r="C10" s="124"/>
      <c r="E10" s="2"/>
      <c r="F10" s="2"/>
      <c r="G10" s="2"/>
      <c r="Q10" s="17"/>
      <c r="R10" s="10"/>
    </row>
    <row r="11" spans="1:19" x14ac:dyDescent="0.25">
      <c r="A11" s="13" t="s">
        <v>205</v>
      </c>
      <c r="B11" s="121">
        <f>D11+E11</f>
        <v>22</v>
      </c>
      <c r="C11" s="122"/>
      <c r="D11" s="2">
        <v>20</v>
      </c>
      <c r="E11" s="2" t="str">
        <f>FEAT_INI</f>
        <v>2</v>
      </c>
      <c r="F11" s="2"/>
      <c r="G11" s="2"/>
      <c r="Q11" s="17"/>
      <c r="R11" s="10"/>
    </row>
    <row r="12" spans="1:19" x14ac:dyDescent="0.25">
      <c r="A12" s="12" t="s">
        <v>206</v>
      </c>
      <c r="B12" s="123">
        <f>D12+E12</f>
        <v>6</v>
      </c>
      <c r="C12" s="124"/>
      <c r="D12" s="2">
        <v>3</v>
      </c>
      <c r="E12" s="2">
        <f>FEAT_AP</f>
        <v>3</v>
      </c>
      <c r="F12" s="2"/>
      <c r="G12" s="2"/>
      <c r="Q12" s="17"/>
      <c r="R12" s="10"/>
    </row>
    <row r="13" spans="1:19" x14ac:dyDescent="0.25">
      <c r="A13" s="13"/>
      <c r="B13" s="121"/>
      <c r="C13" s="122"/>
      <c r="E13" s="2"/>
      <c r="F13" s="2"/>
      <c r="G13" s="2"/>
      <c r="Q13" s="17"/>
      <c r="R13" s="10"/>
    </row>
    <row r="14" spans="1:19" x14ac:dyDescent="0.25">
      <c r="A14" s="12"/>
      <c r="B14" s="123"/>
      <c r="C14" s="124"/>
      <c r="E14" s="2"/>
      <c r="F14" s="2"/>
      <c r="G14" s="2"/>
      <c r="Q14" s="17"/>
      <c r="R14" s="10"/>
    </row>
    <row r="15" spans="1:19" x14ac:dyDescent="0.25">
      <c r="A15" s="13"/>
      <c r="B15" s="121"/>
      <c r="C15" s="122"/>
      <c r="E15" s="2"/>
      <c r="F15" s="2"/>
      <c r="G15" s="2"/>
      <c r="Q15" s="17"/>
      <c r="R15" s="10"/>
    </row>
    <row r="16" spans="1:19" x14ac:dyDescent="0.25">
      <c r="A16" s="12"/>
      <c r="B16" s="123"/>
      <c r="C16" s="124"/>
      <c r="E16" s="2"/>
      <c r="F16" s="2"/>
      <c r="G16" s="2"/>
      <c r="Q16" s="17"/>
      <c r="R16" s="10"/>
    </row>
    <row r="17" spans="1:18" x14ac:dyDescent="0.25">
      <c r="A17" s="13"/>
      <c r="B17" s="121"/>
      <c r="C17" s="122"/>
      <c r="E17" s="2"/>
      <c r="F17" s="2"/>
      <c r="G17" s="2"/>
      <c r="Q17" s="17"/>
      <c r="R17" s="10"/>
    </row>
    <row r="18" spans="1:18" x14ac:dyDescent="0.25">
      <c r="A18" s="12"/>
      <c r="B18" s="123"/>
      <c r="C18" s="124"/>
      <c r="E18" s="2"/>
      <c r="F18" s="2"/>
      <c r="G18" s="2"/>
      <c r="Q18" s="17"/>
      <c r="R18" s="10"/>
    </row>
    <row r="19" spans="1:18" x14ac:dyDescent="0.25">
      <c r="A19" s="13"/>
      <c r="B19" s="121"/>
      <c r="C19" s="122"/>
      <c r="E19" s="2"/>
      <c r="F19" s="2"/>
      <c r="G19" s="2"/>
      <c r="Q19" s="17"/>
      <c r="R19" s="10"/>
    </row>
    <row r="20" spans="1:18" x14ac:dyDescent="0.25">
      <c r="A20" s="12"/>
      <c r="B20" s="123"/>
      <c r="C20" s="124"/>
      <c r="E20" s="2"/>
      <c r="F20" s="2"/>
      <c r="G20" s="2"/>
      <c r="Q20" s="17"/>
      <c r="R20" s="10"/>
    </row>
    <row r="21" spans="1:18" x14ac:dyDescent="0.25">
      <c r="A21" s="13"/>
      <c r="B21" s="121"/>
      <c r="C21" s="122"/>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48</v>
      </c>
      <c r="R43" s="10">
        <f>SUBTOTAL(109,Table11[XP])</f>
        <v>60</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O2" sqref="O2"/>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21</v>
      </c>
      <c r="B1" s="2" t="s">
        <v>34</v>
      </c>
      <c r="C1" s="2" t="s">
        <v>22</v>
      </c>
      <c r="D1" s="2" t="s">
        <v>23</v>
      </c>
      <c r="E1" s="2" t="s">
        <v>24</v>
      </c>
      <c r="F1" s="3" t="s">
        <v>41</v>
      </c>
      <c r="G1" s="2" t="s">
        <v>46</v>
      </c>
      <c r="H1" s="2" t="s">
        <v>49</v>
      </c>
      <c r="I1" s="2" t="s">
        <v>47</v>
      </c>
      <c r="J1" s="2" t="s">
        <v>44</v>
      </c>
      <c r="K1" s="2" t="s">
        <v>87</v>
      </c>
      <c r="L1" s="2" t="s">
        <v>45</v>
      </c>
      <c r="M1" s="2" t="s">
        <v>43</v>
      </c>
      <c r="N1" s="2" t="s">
        <v>39</v>
      </c>
      <c r="O1" s="2" t="s">
        <v>180</v>
      </c>
    </row>
    <row r="2" spans="1:15" x14ac:dyDescent="0.25">
      <c r="A2" s="1" t="s">
        <v>75</v>
      </c>
      <c r="B2" s="2" t="s">
        <v>35</v>
      </c>
      <c r="C2" s="2" t="s">
        <v>27</v>
      </c>
      <c r="D2" s="2" t="s">
        <v>28</v>
      </c>
      <c r="E2" s="2" t="s">
        <v>28</v>
      </c>
      <c r="F2" s="3" t="str">
        <f>IF(C2="Yes","1d20","1d10")</f>
        <v>1d20</v>
      </c>
      <c r="G2" s="2">
        <v>5</v>
      </c>
      <c r="H2" s="2">
        <f>VLOOKUP(RACE,RACES,2,FALSE)</f>
        <v>15</v>
      </c>
      <c r="I2" s="2">
        <f>VLOOKUP(PROF,Table7[],2,FALSE)</f>
        <v>10</v>
      </c>
      <c r="J2" s="2">
        <f>ARMOR_STR</f>
        <v>0</v>
      </c>
      <c r="K2" s="2">
        <f>WEAPON_STR</f>
        <v>0</v>
      </c>
      <c r="L2" s="2">
        <v>0</v>
      </c>
      <c r="M2" s="2">
        <f>SUM(Table1[[#This Row],[START]:[BONUS]])</f>
        <v>30</v>
      </c>
      <c r="N2" s="2">
        <f>ROUNDUP(Table1[[#This Row],[TOTAL]]/10, 0)</f>
        <v>3</v>
      </c>
      <c r="O2" s="2" t="str">
        <f>Table1[[#This Row],[DICE]] &amp; " " &amp; CHAR(43) &amp; " " &amp; IF(Table1[[#This Row],[Skilled]] = "Yes",LVL,0) + IF(Table1[[#This Row],[Expert]]="Yes",EXPERTISE,0)</f>
        <v>1d20 + 0</v>
      </c>
    </row>
    <row r="3" spans="1:15" x14ac:dyDescent="0.25">
      <c r="A3" s="1" t="s">
        <v>30</v>
      </c>
      <c r="B3" s="2" t="s">
        <v>36</v>
      </c>
      <c r="C3" s="2" t="s">
        <v>28</v>
      </c>
      <c r="D3" s="2" t="s">
        <v>28</v>
      </c>
      <c r="E3" s="2" t="s">
        <v>28</v>
      </c>
      <c r="F3" s="3" t="str">
        <f t="shared" ref="F3:F6" si="0">IF(C3="Yes","1d20","1d10")</f>
        <v>1d10</v>
      </c>
      <c r="G3" s="2">
        <v>5</v>
      </c>
      <c r="H3" s="2">
        <f>VLOOKUP(RACE,RACES,3,FALSE)</f>
        <v>5</v>
      </c>
      <c r="I3" s="2">
        <f>VLOOKUP(PROF,Table7[],3,FALSE)</f>
        <v>0</v>
      </c>
      <c r="J3" s="2">
        <f>ARMOR_AGI</f>
        <v>0</v>
      </c>
      <c r="K3" s="2">
        <f>WEAPON_AGI</f>
        <v>0</v>
      </c>
      <c r="L3" s="2">
        <v>0</v>
      </c>
      <c r="M3" s="2">
        <f>SUM(Table1[[#This Row],[START]:[BONUS]])</f>
        <v>10</v>
      </c>
      <c r="N3" s="2">
        <f>ROUNDUP(Table1[[#This Row],[TOTAL]]/10, 0)</f>
        <v>1</v>
      </c>
      <c r="O3" s="2" t="str">
        <f>Table1[[#This Row],[DICE]] &amp; " " &amp; CHAR(43) &amp; " " &amp; IF(Table1[[#This Row],[Skilled]] = "Yes",LVL,0) + IF(Table1[[#This Row],[Expert]]="Yes",EXPERTISE,0)</f>
        <v>1d10 + 0</v>
      </c>
    </row>
    <row r="4" spans="1:15" x14ac:dyDescent="0.25">
      <c r="A4" s="1" t="s">
        <v>31</v>
      </c>
      <c r="B4" s="2" t="s">
        <v>37</v>
      </c>
      <c r="C4" s="2" t="s">
        <v>27</v>
      </c>
      <c r="D4" s="2" t="s">
        <v>28</v>
      </c>
      <c r="E4" s="2" t="s">
        <v>28</v>
      </c>
      <c r="F4" s="3" t="str">
        <f t="shared" si="0"/>
        <v>1d20</v>
      </c>
      <c r="G4" s="2">
        <v>5</v>
      </c>
      <c r="H4" s="2">
        <f>VLOOKUP(RACE,RACES,4,FALSE)</f>
        <v>5</v>
      </c>
      <c r="I4" s="2">
        <f>VLOOKUP(PROF,Table7[],4,FALSE)</f>
        <v>18</v>
      </c>
      <c r="J4" s="2">
        <f>ARMOR_INU</f>
        <v>20</v>
      </c>
      <c r="K4" s="2">
        <f>WEAPON_INU</f>
        <v>15</v>
      </c>
      <c r="L4" s="2">
        <v>0</v>
      </c>
      <c r="M4" s="2">
        <f>SUM(Table1[[#This Row],[START]:[BONUS]])</f>
        <v>63</v>
      </c>
      <c r="N4" s="2">
        <f>ROUNDUP(Table1[[#This Row],[TOTAL]]/10, 0)</f>
        <v>7</v>
      </c>
      <c r="O4" s="2" t="str">
        <f>Table1[[#This Row],[DICE]] &amp; " " &amp; CHAR(43) &amp; " " &amp; IF(Table1[[#This Row],[Skilled]] = "Yes",LVL,0) + IF(Table1[[#This Row],[Expert]]="Yes",EXPERTISE,0)</f>
        <v>1d20 + 0</v>
      </c>
    </row>
    <row r="5" spans="1:15" x14ac:dyDescent="0.25">
      <c r="A5" s="1" t="s">
        <v>53</v>
      </c>
      <c r="B5" s="2" t="s">
        <v>54</v>
      </c>
      <c r="C5" s="2" t="s">
        <v>27</v>
      </c>
      <c r="D5" s="2" t="s">
        <v>28</v>
      </c>
      <c r="E5" s="2" t="s">
        <v>28</v>
      </c>
      <c r="F5" s="3" t="s">
        <v>55</v>
      </c>
      <c r="G5" s="2">
        <v>5</v>
      </c>
      <c r="H5" s="2">
        <f>VLOOKUP(RACE,RACES,5,FALSE)</f>
        <v>15</v>
      </c>
      <c r="I5" s="2">
        <f>VLOOKUP(PROF,Table7[],5,FALSE)</f>
        <v>6</v>
      </c>
      <c r="J5" s="2">
        <f>ARMOR_CHA</f>
        <v>0</v>
      </c>
      <c r="K5" s="2">
        <f>WEAPON_CHA</f>
        <v>0</v>
      </c>
      <c r="L5" s="2">
        <v>0</v>
      </c>
      <c r="M5" s="2">
        <f>SUM(Table1[[#This Row],[START]:[BONUS]])</f>
        <v>26</v>
      </c>
      <c r="N5" s="2">
        <f>ROUNDUP(Table1[[#This Row],[TOTAL]]/10, 0)</f>
        <v>3</v>
      </c>
      <c r="O5" s="2" t="str">
        <f>Table1[[#This Row],[DICE]] &amp; " " &amp; CHAR(43) &amp; " " &amp; IF(Table1[[#This Row],[Skilled]] = "Yes",LVL,0) + IF(Table1[[#This Row],[Expert]]="Yes",EXPERTISE,0)</f>
        <v>1d10 + 0</v>
      </c>
    </row>
    <row r="6" spans="1:15" x14ac:dyDescent="0.25">
      <c r="A6" s="1" t="s">
        <v>32</v>
      </c>
      <c r="B6" s="2" t="s">
        <v>38</v>
      </c>
      <c r="C6" s="2" t="s">
        <v>28</v>
      </c>
      <c r="D6" s="2" t="s">
        <v>28</v>
      </c>
      <c r="E6" s="2" t="s">
        <v>28</v>
      </c>
      <c r="F6" s="3" t="str">
        <f t="shared" si="0"/>
        <v>1d10</v>
      </c>
      <c r="G6" s="2">
        <v>5</v>
      </c>
      <c r="H6" s="2">
        <f>VLOOKUP(RACE,RACES,6,FALSE)</f>
        <v>10</v>
      </c>
      <c r="I6" s="2">
        <f>VLOOKUP(PROF,Table7[],6,FALSE)</f>
        <v>0</v>
      </c>
      <c r="J6" s="2">
        <f>ARMOR_PER</f>
        <v>0</v>
      </c>
      <c r="K6" s="2">
        <f>WEAPON_PER</f>
        <v>0</v>
      </c>
      <c r="L6" s="2">
        <v>0</v>
      </c>
      <c r="M6" s="2">
        <f>SUM(Table1[[#This Row],[START]:[BONUS]])</f>
        <v>15</v>
      </c>
      <c r="N6" s="2">
        <f>ROUNDUP(Table1[[#This Row],[TOTAL]]/10, 0)</f>
        <v>2</v>
      </c>
      <c r="O6" s="2" t="str">
        <f>Table1[[#This Row],[DICE]] &amp; " " &amp; CHAR(43) &amp; " " &amp; IF(Table1[[#This Row],[Skilled]] = "Yes",LVL,0) + IF(Table1[[#This Row],[Expert]]="Yes",EXPERTISE,0)</f>
        <v>1d10 + 0</v>
      </c>
    </row>
    <row r="7" spans="1:15" x14ac:dyDescent="0.25">
      <c r="A7" s="1" t="s">
        <v>50</v>
      </c>
      <c r="B7" s="2">
        <f>SUM(Table1[[#Totals],[Bought]:[Expert]])</f>
        <v>6</v>
      </c>
      <c r="C7" s="2">
        <f>COUNTIF(Table1[Bought], "Yes") * 2</f>
        <v>6</v>
      </c>
      <c r="D7" s="2">
        <f>COUNTIF(Table1[Skilled], "Yes") * 3</f>
        <v>0</v>
      </c>
      <c r="E7" s="2">
        <f>COUNTIF(Table1[Expert], "Yes") * 3</f>
        <v>0</v>
      </c>
      <c r="F7" s="3"/>
      <c r="M7" s="2"/>
      <c r="N7" s="2"/>
      <c r="O7" s="2"/>
    </row>
  </sheetData>
  <conditionalFormatting sqref="C2:E6">
    <cfRule type="containsText" dxfId="24" priority="8" operator="containsText" text="No">
      <formula>NOT(ISERROR(SEARCH("No",C2)))</formula>
    </cfRule>
  </conditionalFormatting>
  <conditionalFormatting sqref="F2:F6">
    <cfRule type="containsText" dxfId="23" priority="7" operator="containsText" text="1d10">
      <formula>NOT(ISERROR(SEARCH("1d10",F2)))</formula>
    </cfRule>
  </conditionalFormatting>
  <conditionalFormatting sqref="J5:L6 H2:L3 I4:L4">
    <cfRule type="cellIs" dxfId="22" priority="6" operator="equal">
      <formula>0</formula>
    </cfRule>
  </conditionalFormatting>
  <conditionalFormatting sqref="I5">
    <cfRule type="cellIs" dxfId="21" priority="5" operator="equal">
      <formula>0</formula>
    </cfRule>
  </conditionalFormatting>
  <conditionalFormatting sqref="I6">
    <cfRule type="cellIs" dxfId="20" priority="4" operator="equal">
      <formula>0</formula>
    </cfRule>
  </conditionalFormatting>
  <conditionalFormatting sqref="H4">
    <cfRule type="cellIs" dxfId="19" priority="3" operator="equal">
      <formula>0</formula>
    </cfRule>
  </conditionalFormatting>
  <conditionalFormatting sqref="H5">
    <cfRule type="cellIs" dxfId="18" priority="2" operator="equal">
      <formula>0</formula>
    </cfRule>
  </conditionalFormatting>
  <conditionalFormatting sqref="H6">
    <cfRule type="cellIs" dxfId="17"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C38" sqref="C38"/>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21</v>
      </c>
      <c r="B1" s="2" t="s">
        <v>33</v>
      </c>
      <c r="C1" s="2" t="s">
        <v>22</v>
      </c>
      <c r="D1" s="2" t="s">
        <v>23</v>
      </c>
      <c r="E1" s="2" t="s">
        <v>25</v>
      </c>
      <c r="F1" s="2" t="s">
        <v>24</v>
      </c>
      <c r="G1" s="4" t="s">
        <v>41</v>
      </c>
      <c r="H1" s="2" t="s">
        <v>39</v>
      </c>
      <c r="I1" s="2" t="s">
        <v>40</v>
      </c>
      <c r="J1" s="2" t="s">
        <v>42</v>
      </c>
      <c r="K1" s="2" t="s">
        <v>43</v>
      </c>
    </row>
    <row r="2" spans="1:25" x14ac:dyDescent="0.25">
      <c r="A2" s="1" t="s">
        <v>0</v>
      </c>
      <c r="B2" s="2" t="s">
        <v>35</v>
      </c>
      <c r="C2" s="2" t="s">
        <v>27</v>
      </c>
      <c r="D2" s="2" t="s">
        <v>28</v>
      </c>
      <c r="E2" s="2" t="s">
        <v>28</v>
      </c>
      <c r="F2" s="2" t="s">
        <v>28</v>
      </c>
      <c r="G2" s="4" t="str">
        <f t="shared" ref="G2:G25" si="0">IF(C2="Yes","1d20","1d10")</f>
        <v>1d20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f>
        <v>1d20 + 0</v>
      </c>
    </row>
    <row r="3" spans="1:25" x14ac:dyDescent="0.25">
      <c r="A3" s="1" t="s">
        <v>1</v>
      </c>
      <c r="B3" s="2" t="s">
        <v>35</v>
      </c>
      <c r="C3" s="2" t="s">
        <v>28</v>
      </c>
      <c r="D3" s="2" t="s">
        <v>28</v>
      </c>
      <c r="E3" s="2" t="s">
        <v>28</v>
      </c>
      <c r="F3" s="2" t="s">
        <v>28</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20</v>
      </c>
      <c r="B4" s="2" t="s">
        <v>36</v>
      </c>
      <c r="C4" s="2" t="s">
        <v>27</v>
      </c>
      <c r="D4" s="2" t="s">
        <v>27</v>
      </c>
      <c r="E4" s="2" t="s">
        <v>28</v>
      </c>
      <c r="F4" s="2" t="s">
        <v>28</v>
      </c>
      <c r="G4" s="4" t="str">
        <f t="shared" si="0"/>
        <v>1d20</v>
      </c>
      <c r="H4" s="2">
        <f>IF(Table2[[#This Row],[Skilled]] = "YES",VLOOKUP(Table2[[#This Row],[Statistic]],Table1[[Code]:[STAT]],13,FALSE), 0)</f>
        <v>1</v>
      </c>
      <c r="I4" s="2">
        <f>IF(Table2[[#This Row],[Professional]]="Yes",LVL,0)</f>
        <v>0</v>
      </c>
      <c r="J4" s="2">
        <v>0</v>
      </c>
      <c r="K4" s="2" t="str">
        <f>Table2[[#This Row],[DICE]] &amp; " " &amp; CHAR(43) &amp; " " &amp; SUM(H4:J4) + ARMOR_DODGE</f>
        <v>1d20 + 1</v>
      </c>
    </row>
    <row r="5" spans="1:25" x14ac:dyDescent="0.25">
      <c r="A5" s="1" t="s">
        <v>2</v>
      </c>
      <c r="B5" s="2" t="s">
        <v>36</v>
      </c>
      <c r="C5" s="2" t="s">
        <v>27</v>
      </c>
      <c r="D5" s="2" t="s">
        <v>28</v>
      </c>
      <c r="E5" s="2" t="s">
        <v>28</v>
      </c>
      <c r="F5" s="2" t="s">
        <v>28</v>
      </c>
      <c r="G5" s="4" t="str">
        <f t="shared" si="0"/>
        <v>1d20</v>
      </c>
      <c r="H5" s="2">
        <f>IF(Table2[[#This Row],[Skilled]] = "YES",VLOOKUP(Table2[[#This Row],[Statistic]],Table1[[Code]:[STAT]],13,FALSE), 0)</f>
        <v>0</v>
      </c>
      <c r="I5" s="2">
        <f>IF(Table2[[#This Row],[Professional]]="Yes",LVL,0)</f>
        <v>0</v>
      </c>
      <c r="J5" s="2">
        <v>0</v>
      </c>
      <c r="K5" s="2" t="str">
        <f>Table2[[#This Row],[DICE]] &amp; " " &amp; CHAR(43) &amp; " " &amp; SUM(H5:J5)</f>
        <v>1d20 + 0</v>
      </c>
    </row>
    <row r="6" spans="1:25" x14ac:dyDescent="0.25">
      <c r="A6" s="1" t="s">
        <v>3</v>
      </c>
      <c r="B6" s="2" t="s">
        <v>37</v>
      </c>
      <c r="C6" s="2" t="s">
        <v>28</v>
      </c>
      <c r="D6" s="2" t="s">
        <v>28</v>
      </c>
      <c r="E6" s="2" t="s">
        <v>28</v>
      </c>
      <c r="F6" s="2" t="s">
        <v>28</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56</v>
      </c>
      <c r="B7" s="2" t="s">
        <v>36</v>
      </c>
      <c r="C7" s="2" t="s">
        <v>28</v>
      </c>
      <c r="D7" s="2" t="s">
        <v>28</v>
      </c>
      <c r="E7" s="2" t="s">
        <v>28</v>
      </c>
      <c r="F7" s="2" t="s">
        <v>28</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37</v>
      </c>
      <c r="C8" s="2" t="s">
        <v>27</v>
      </c>
      <c r="D8" s="2" t="s">
        <v>27</v>
      </c>
      <c r="E8" s="2" t="s">
        <v>27</v>
      </c>
      <c r="F8" s="2" t="s">
        <v>28</v>
      </c>
      <c r="G8" s="4" t="str">
        <f t="shared" si="0"/>
        <v>1d20</v>
      </c>
      <c r="H8" s="2">
        <f>IF(Table2[[#This Row],[Skilled]] = "YES",VLOOKUP(Table2[[#This Row],[Statistic]],Table1[[Code]:[STAT]],13,FALSE), 0)</f>
        <v>7</v>
      </c>
      <c r="I8" s="2">
        <f>IF(Table2[[#This Row],[Professional]]="Yes",LVL,0)</f>
        <v>5</v>
      </c>
      <c r="J8" s="2">
        <v>0</v>
      </c>
      <c r="K8" s="2" t="str">
        <f>Table2[[#This Row],[DICE]] &amp; " " &amp; CHAR(43) &amp; " " &amp; SUM(H8:J8)</f>
        <v>1d20 + 12</v>
      </c>
      <c r="M8" s="48"/>
      <c r="N8" s="48"/>
      <c r="O8" s="48"/>
      <c r="P8" s="48"/>
      <c r="Q8" s="48"/>
      <c r="R8" s="48"/>
      <c r="S8" s="48"/>
      <c r="T8" s="48"/>
      <c r="U8" s="48"/>
      <c r="V8" s="48"/>
      <c r="W8" s="48"/>
      <c r="X8" s="48"/>
      <c r="Y8" s="48"/>
    </row>
    <row r="9" spans="1:25" x14ac:dyDescent="0.25">
      <c r="A9" s="1" t="s">
        <v>16</v>
      </c>
      <c r="B9" s="2" t="s">
        <v>37</v>
      </c>
      <c r="C9" s="2" t="s">
        <v>27</v>
      </c>
      <c r="D9" s="2" t="s">
        <v>27</v>
      </c>
      <c r="E9" s="2" t="s">
        <v>28</v>
      </c>
      <c r="F9" s="2" t="s">
        <v>28</v>
      </c>
      <c r="G9" s="4" t="str">
        <f t="shared" si="0"/>
        <v>1d20</v>
      </c>
      <c r="H9" s="2">
        <f>IF(Table2[[#This Row],[Skilled]] = "YES",VLOOKUP(Table2[[#This Row],[Statistic]],Table1[[Code]:[STAT]],13,FALSE), 0)</f>
        <v>7</v>
      </c>
      <c r="I9" s="2">
        <f>IF(Table2[[#This Row],[Professional]]="Yes",LVL,0)</f>
        <v>0</v>
      </c>
      <c r="J9" s="2">
        <v>0</v>
      </c>
      <c r="K9" s="2" t="str">
        <f>Table2[[#This Row],[DICE]] &amp; " " &amp; CHAR(43) &amp; " " &amp; SUM(H9:J9)</f>
        <v>1d20 + 7</v>
      </c>
      <c r="M9" s="48"/>
      <c r="N9" s="48"/>
      <c r="O9" s="48"/>
      <c r="P9" s="48"/>
      <c r="Q9" s="48"/>
      <c r="R9" s="48"/>
      <c r="S9" s="48"/>
      <c r="T9" s="48"/>
      <c r="U9" s="48"/>
      <c r="V9" s="48"/>
      <c r="W9" s="48"/>
      <c r="X9" s="48"/>
      <c r="Y9" s="48"/>
    </row>
    <row r="10" spans="1:25" x14ac:dyDescent="0.25">
      <c r="A10" s="1" t="s">
        <v>67</v>
      </c>
      <c r="B10" s="2" t="s">
        <v>37</v>
      </c>
      <c r="C10" s="2" t="s">
        <v>27</v>
      </c>
      <c r="D10" s="2" t="s">
        <v>28</v>
      </c>
      <c r="E10" s="2" t="s">
        <v>28</v>
      </c>
      <c r="F10" s="2" t="s">
        <v>28</v>
      </c>
      <c r="G10" s="4" t="str">
        <f>IF(C10="Yes","1d20","1d10")</f>
        <v>1d20</v>
      </c>
      <c r="H10" s="2">
        <f>IF(Table2[[#This Row],[Skilled]] = "YES",VLOOKUP(Table2[[#This Row],[Statistic]],Table1[[Code]:[STAT]],13,FALSE), 0)</f>
        <v>0</v>
      </c>
      <c r="I10" s="2">
        <f>IF(Table2[[#This Row],[Professional]]="Yes",LVL,0)</f>
        <v>0</v>
      </c>
      <c r="J10" s="2">
        <v>0</v>
      </c>
      <c r="K10" s="2" t="str">
        <f>Table2[[#This Row],[DICE]] &amp; " " &amp; CHAR(43) &amp; " " &amp; SUM(H10:J10)</f>
        <v>1d20 + 0</v>
      </c>
      <c r="M10" s="48"/>
      <c r="O10" s="2"/>
      <c r="P10" s="49"/>
      <c r="Q10" s="49"/>
      <c r="R10" s="49"/>
      <c r="S10" s="49"/>
      <c r="T10" s="49"/>
      <c r="U10" s="49"/>
      <c r="V10" s="49"/>
      <c r="W10" s="49"/>
      <c r="X10" s="49"/>
      <c r="Y10" s="48"/>
    </row>
    <row r="11" spans="1:25" x14ac:dyDescent="0.25">
      <c r="A11" s="1" t="s">
        <v>66</v>
      </c>
      <c r="B11" s="2" t="s">
        <v>54</v>
      </c>
      <c r="C11" s="2" t="s">
        <v>27</v>
      </c>
      <c r="D11" s="2" t="s">
        <v>28</v>
      </c>
      <c r="E11" s="2" t="s">
        <v>28</v>
      </c>
      <c r="F11" s="2" t="s">
        <v>28</v>
      </c>
      <c r="G11" s="4" t="str">
        <f>IF(C11="Yes","1d20","1d10")</f>
        <v>1d20</v>
      </c>
      <c r="H11" s="2">
        <f>IF(Table2[[#This Row],[Skilled]] = "YES",VLOOKUP(Table2[[#This Row],[Statistic]],Table1[[Code]:[STAT]],13,FALSE), 0)</f>
        <v>0</v>
      </c>
      <c r="I11" s="2">
        <f>IF(Table2[[#This Row],[Professional]]="Yes",LVL,0)</f>
        <v>0</v>
      </c>
      <c r="J11" s="2">
        <v>0</v>
      </c>
      <c r="K11" s="2" t="str">
        <f>Table2[[#This Row],[DICE]] &amp; " " &amp; CHAR(43) &amp; " " &amp; SUM(H11:J11)</f>
        <v>1d20 + 0</v>
      </c>
      <c r="M11" s="48"/>
      <c r="O11" s="2"/>
      <c r="P11" s="49"/>
      <c r="Q11" s="49"/>
      <c r="R11" s="49"/>
      <c r="S11" s="49"/>
      <c r="T11" s="49"/>
      <c r="U11" s="49"/>
      <c r="V11" s="49"/>
      <c r="W11" s="49"/>
      <c r="X11" s="49"/>
      <c r="Y11" s="48"/>
    </row>
    <row r="12" spans="1:25" x14ac:dyDescent="0.25">
      <c r="A12" s="1" t="s">
        <v>5</v>
      </c>
      <c r="B12" s="2" t="s">
        <v>37</v>
      </c>
      <c r="C12" s="2" t="s">
        <v>28</v>
      </c>
      <c r="D12" s="2" t="s">
        <v>28</v>
      </c>
      <c r="E12" s="2" t="s">
        <v>28</v>
      </c>
      <c r="F12" s="2" t="s">
        <v>28</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54</v>
      </c>
      <c r="C13" s="2" t="s">
        <v>28</v>
      </c>
      <c r="D13" s="2" t="s">
        <v>28</v>
      </c>
      <c r="E13" s="2" t="s">
        <v>28</v>
      </c>
      <c r="F13" s="2" t="s">
        <v>28</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38</v>
      </c>
      <c r="C14" s="2" t="s">
        <v>28</v>
      </c>
      <c r="D14" s="2" t="s">
        <v>28</v>
      </c>
      <c r="E14" s="2" t="s">
        <v>28</v>
      </c>
      <c r="F14" s="2" t="s">
        <v>28</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36</v>
      </c>
      <c r="C15" s="2" t="s">
        <v>28</v>
      </c>
      <c r="D15" s="2" t="s">
        <v>28</v>
      </c>
      <c r="E15" s="2" t="s">
        <v>28</v>
      </c>
      <c r="F15" s="2" t="s">
        <v>28</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37</v>
      </c>
      <c r="C16" s="2" t="s">
        <v>28</v>
      </c>
      <c r="D16" s="2" t="s">
        <v>28</v>
      </c>
      <c r="E16" s="2" t="s">
        <v>28</v>
      </c>
      <c r="F16" s="2" t="s">
        <v>28</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54</v>
      </c>
      <c r="C17" s="2" t="s">
        <v>28</v>
      </c>
      <c r="D17" s="2" t="s">
        <v>28</v>
      </c>
      <c r="E17" s="2" t="s">
        <v>28</v>
      </c>
      <c r="F17" s="2" t="s">
        <v>28</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19</v>
      </c>
      <c r="B18" s="2" t="s">
        <v>54</v>
      </c>
      <c r="C18" s="2" t="s">
        <v>28</v>
      </c>
      <c r="D18" s="2" t="s">
        <v>28</v>
      </c>
      <c r="E18" s="2" t="s">
        <v>28</v>
      </c>
      <c r="F18" s="2" t="s">
        <v>28</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346</v>
      </c>
      <c r="B19" s="2" t="s">
        <v>54</v>
      </c>
      <c r="C19" s="2" t="s">
        <v>28</v>
      </c>
      <c r="D19" s="2" t="s">
        <v>28</v>
      </c>
      <c r="E19" s="2" t="s">
        <v>28</v>
      </c>
      <c r="F19" s="2" t="s">
        <v>28</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11</v>
      </c>
      <c r="B20" s="2" t="s">
        <v>54</v>
      </c>
      <c r="C20" s="2" t="s">
        <v>28</v>
      </c>
      <c r="D20" s="2" t="s">
        <v>28</v>
      </c>
      <c r="E20" s="2" t="s">
        <v>28</v>
      </c>
      <c r="F20" s="2" t="s">
        <v>28</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12</v>
      </c>
      <c r="B21" s="2" t="s">
        <v>36</v>
      </c>
      <c r="C21" s="2" t="s">
        <v>28</v>
      </c>
      <c r="D21" s="2" t="s">
        <v>28</v>
      </c>
      <c r="E21" s="2" t="s">
        <v>28</v>
      </c>
      <c r="F21" s="2" t="s">
        <v>28</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8"/>
      <c r="O21" s="2"/>
      <c r="P21" s="49"/>
      <c r="Q21" s="49"/>
      <c r="R21" s="49"/>
      <c r="S21" s="49"/>
      <c r="T21" s="49"/>
      <c r="U21" s="49"/>
      <c r="V21" s="49"/>
      <c r="W21" s="49"/>
      <c r="X21" s="49"/>
      <c r="Y21" s="48"/>
    </row>
    <row r="22" spans="1:25" x14ac:dyDescent="0.25">
      <c r="A22" s="1" t="s">
        <v>13</v>
      </c>
      <c r="B22" s="2" t="s">
        <v>37</v>
      </c>
      <c r="C22" s="2" t="s">
        <v>28</v>
      </c>
      <c r="D22" s="2" t="s">
        <v>28</v>
      </c>
      <c r="E22" s="2" t="s">
        <v>28</v>
      </c>
      <c r="F22" s="2" t="s">
        <v>28</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48"/>
      <c r="O22" s="2"/>
      <c r="P22" s="49"/>
      <c r="Q22" s="49"/>
      <c r="R22" s="49"/>
      <c r="S22" s="49"/>
      <c r="T22" s="49"/>
      <c r="U22" s="49"/>
      <c r="V22" s="49"/>
      <c r="W22" s="49"/>
      <c r="X22" s="49"/>
      <c r="Y22" s="48"/>
    </row>
    <row r="23" spans="1:25" x14ac:dyDescent="0.25">
      <c r="A23" s="1" t="s">
        <v>14</v>
      </c>
      <c r="B23" s="2" t="s">
        <v>37</v>
      </c>
      <c r="C23" s="2" t="s">
        <v>28</v>
      </c>
      <c r="D23" s="2" t="s">
        <v>28</v>
      </c>
      <c r="E23" s="2" t="s">
        <v>28</v>
      </c>
      <c r="F23" s="2" t="s">
        <v>28</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345</v>
      </c>
      <c r="B24" s="2" t="s">
        <v>38</v>
      </c>
      <c r="C24" s="2" t="s">
        <v>28</v>
      </c>
      <c r="D24" s="2" t="s">
        <v>28</v>
      </c>
      <c r="E24" s="2" t="s">
        <v>28</v>
      </c>
      <c r="F24" s="2" t="s">
        <v>28</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17</v>
      </c>
      <c r="B25" s="2" t="s">
        <v>36</v>
      </c>
      <c r="C25" s="2" t="s">
        <v>28</v>
      </c>
      <c r="D25" s="2" t="s">
        <v>28</v>
      </c>
      <c r="E25" s="2" t="s">
        <v>28</v>
      </c>
      <c r="F25" s="2" t="s">
        <v>28</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18</v>
      </c>
      <c r="B26" s="2" t="s">
        <v>37</v>
      </c>
      <c r="C26" s="2" t="s">
        <v>28</v>
      </c>
      <c r="D26" s="2" t="s">
        <v>28</v>
      </c>
      <c r="E26" s="2" t="s">
        <v>28</v>
      </c>
      <c r="F26" s="2" t="s">
        <v>28</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169</v>
      </c>
      <c r="B27" s="2" t="s">
        <v>37</v>
      </c>
      <c r="C27" s="2" t="s">
        <v>28</v>
      </c>
      <c r="D27" s="2" t="s">
        <v>28</v>
      </c>
      <c r="E27" s="2" t="s">
        <v>28</v>
      </c>
      <c r="F27" s="2" t="s">
        <v>28</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15</v>
      </c>
      <c r="B28" s="2" t="s">
        <v>37</v>
      </c>
      <c r="C28" s="2" t="s">
        <v>28</v>
      </c>
      <c r="D28" s="2" t="s">
        <v>28</v>
      </c>
      <c r="E28" s="2" t="s">
        <v>28</v>
      </c>
      <c r="F28" s="2" t="s">
        <v>28</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48</v>
      </c>
      <c r="B35" s="2">
        <f>SUM(Table2[[#Totals],[Bought]:[Expert]])</f>
        <v>27</v>
      </c>
      <c r="C35" s="2">
        <f>COUNTIF(Table2[Bought],"Yes") * 2</f>
        <v>14</v>
      </c>
      <c r="D35" s="2">
        <f>COUNTIF(Table2[Skilled],"Yes") * 3</f>
        <v>9</v>
      </c>
      <c r="E35" s="2">
        <f>COUNTIF(Table2[Professional],"Yes") * 4</f>
        <v>4</v>
      </c>
      <c r="F35" s="2">
        <f>COUNTIF(Table2[Expert],"Yes") * 5</f>
        <v>0</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16" priority="5" operator="containsText" text="No">
      <formula>NOT(ISERROR(SEARCH("No",C2)))</formula>
    </cfRule>
  </conditionalFormatting>
  <conditionalFormatting sqref="H2:K25 H31:K34">
    <cfRule type="cellIs" dxfId="15" priority="3" operator="equal">
      <formula>0</formula>
    </cfRule>
  </conditionalFormatting>
  <conditionalFormatting sqref="C26:F30">
    <cfRule type="containsText" dxfId="14" priority="2" operator="containsText" text="No">
      <formula>NOT(ISERROR(SEARCH("No",C26)))</formula>
    </cfRule>
  </conditionalFormatting>
  <conditionalFormatting sqref="H26:K30">
    <cfRule type="cellIs" dxfId="13"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L22" sqref="L22"/>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21</v>
      </c>
      <c r="B1" s="2" t="s">
        <v>33</v>
      </c>
      <c r="C1" s="2" t="s">
        <v>22</v>
      </c>
      <c r="D1" s="2" t="s">
        <v>23</v>
      </c>
      <c r="E1" s="2" t="s">
        <v>25</v>
      </c>
      <c r="F1" s="2" t="s">
        <v>24</v>
      </c>
      <c r="G1" s="4" t="s">
        <v>41</v>
      </c>
      <c r="H1" s="2" t="s">
        <v>39</v>
      </c>
      <c r="I1" s="2" t="s">
        <v>40</v>
      </c>
      <c r="J1" s="2" t="s">
        <v>42</v>
      </c>
      <c r="K1" s="2" t="s">
        <v>43</v>
      </c>
    </row>
    <row r="2" spans="1:17" x14ac:dyDescent="0.25">
      <c r="A2" s="1" t="s">
        <v>175</v>
      </c>
      <c r="B2" s="2" t="s">
        <v>36</v>
      </c>
      <c r="C2" s="2" t="s">
        <v>27</v>
      </c>
      <c r="D2" s="2" t="s">
        <v>28</v>
      </c>
      <c r="E2" s="2" t="s">
        <v>28</v>
      </c>
      <c r="F2" s="2" t="s">
        <v>28</v>
      </c>
      <c r="G2" s="4" t="str">
        <f t="shared" ref="G2:G9" si="0">IF(C2="Yes","1d20","1d10")</f>
        <v>1d20</v>
      </c>
      <c r="H2" s="2">
        <f>IF(Table217[[#This Row],[Skilled]] = "YES",VLOOKUP(Table217[[#This Row],[Statistic]],Table1[[Code]:[STAT]],13,FALSE), 0)</f>
        <v>0</v>
      </c>
      <c r="I2" s="2">
        <f>IF(Table217[[#This Row],[Professional]]="Yes",LVL,0)</f>
        <v>0</v>
      </c>
      <c r="J2" s="2">
        <f>IF(Table217[[#This Row],[Expert]]="Yes", EXPERTISE, 0)</f>
        <v>0</v>
      </c>
      <c r="K2" s="84" t="str">
        <f>Table217[[#This Row],[DICE]] &amp; " " &amp; CHAR(43) &amp; " " &amp; SUM(H2:J2) + 3</f>
        <v>1d20 + 3</v>
      </c>
    </row>
    <row r="3" spans="1:17" x14ac:dyDescent="0.25">
      <c r="A3" s="1" t="s">
        <v>176</v>
      </c>
      <c r="B3" s="2" t="s">
        <v>35</v>
      </c>
      <c r="C3" s="2" t="s">
        <v>28</v>
      </c>
      <c r="D3" s="2" t="s">
        <v>28</v>
      </c>
      <c r="E3" s="2" t="s">
        <v>28</v>
      </c>
      <c r="F3" s="2" t="s">
        <v>28</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 + 3</f>
        <v>1d10 + 3</v>
      </c>
    </row>
    <row r="4" spans="1:17" x14ac:dyDescent="0.25">
      <c r="A4" s="1" t="s">
        <v>171</v>
      </c>
      <c r="B4" s="2" t="s">
        <v>54</v>
      </c>
      <c r="C4" s="2" t="s">
        <v>28</v>
      </c>
      <c r="D4" s="2" t="s">
        <v>28</v>
      </c>
      <c r="E4" s="2" t="s">
        <v>28</v>
      </c>
      <c r="F4" s="2" t="s">
        <v>28</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 + 3</f>
        <v>1d10 + 3</v>
      </c>
    </row>
    <row r="5" spans="1:17" x14ac:dyDescent="0.25">
      <c r="A5" s="1" t="s">
        <v>170</v>
      </c>
      <c r="B5" s="2" t="s">
        <v>35</v>
      </c>
      <c r="C5" s="2" t="s">
        <v>27</v>
      </c>
      <c r="D5" s="2" t="s">
        <v>28</v>
      </c>
      <c r="E5" s="2" t="s">
        <v>28</v>
      </c>
      <c r="F5" s="2" t="s">
        <v>28</v>
      </c>
      <c r="G5" s="4" t="str">
        <f t="shared" si="0"/>
        <v>1d20</v>
      </c>
      <c r="H5" s="2">
        <f>IF(Table217[[#This Row],[Skilled]] = "YES",VLOOKUP(Table217[[#This Row],[Statistic]],Table1[[Code]:[STAT]],13,FALSE), 0)</f>
        <v>0</v>
      </c>
      <c r="I5" s="2">
        <f>IF(Table217[[#This Row],[Professional]]="Yes",LVL,0)</f>
        <v>0</v>
      </c>
      <c r="J5" s="2">
        <v>0</v>
      </c>
      <c r="K5" s="2" t="str">
        <f>Table217[[#This Row],[DICE]] &amp; " " &amp; CHAR(43) &amp; " " &amp; SUM(H5:J5) + 3</f>
        <v>1d20 + 3</v>
      </c>
    </row>
    <row r="6" spans="1:17" x14ac:dyDescent="0.25">
      <c r="A6" s="1" t="s">
        <v>172</v>
      </c>
      <c r="B6" s="2" t="s">
        <v>38</v>
      </c>
      <c r="C6" s="2" t="s">
        <v>28</v>
      </c>
      <c r="D6" s="2" t="s">
        <v>28</v>
      </c>
      <c r="E6" s="2" t="s">
        <v>28</v>
      </c>
      <c r="F6" s="2" t="s">
        <v>28</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 + 3</f>
        <v>1d10 + 3</v>
      </c>
    </row>
    <row r="7" spans="1:17" x14ac:dyDescent="0.25">
      <c r="A7" s="1" t="s">
        <v>173</v>
      </c>
      <c r="B7" s="2" t="s">
        <v>35</v>
      </c>
      <c r="C7" s="2" t="s">
        <v>28</v>
      </c>
      <c r="D7" s="2" t="s">
        <v>28</v>
      </c>
      <c r="E7" s="2" t="s">
        <v>28</v>
      </c>
      <c r="F7" s="2" t="s">
        <v>28</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 + 3</f>
        <v>1d10 + 3</v>
      </c>
    </row>
    <row r="8" spans="1:17" x14ac:dyDescent="0.25">
      <c r="A8" s="1" t="s">
        <v>174</v>
      </c>
      <c r="B8" s="2" t="s">
        <v>35</v>
      </c>
      <c r="C8" s="2" t="s">
        <v>27</v>
      </c>
      <c r="D8" s="2" t="s">
        <v>28</v>
      </c>
      <c r="E8" s="2" t="s">
        <v>28</v>
      </c>
      <c r="F8" s="2" t="s">
        <v>28</v>
      </c>
      <c r="G8" s="4" t="str">
        <f t="shared" si="0"/>
        <v>1d20</v>
      </c>
      <c r="H8" s="2">
        <f>IF(Table217[[#This Row],[Skilled]] = "YES",VLOOKUP(Table217[[#This Row],[Statistic]],Table1[[Code]:[STAT]],13,FALSE), 0)</f>
        <v>0</v>
      </c>
      <c r="I8" s="2">
        <f>IF(Table217[[#This Row],[Professional]]="Yes",LVL,0)</f>
        <v>0</v>
      </c>
      <c r="J8" s="2">
        <v>0</v>
      </c>
      <c r="K8" s="2" t="str">
        <f>Table217[[#This Row],[DICE]] &amp; " " &amp; CHAR(43) &amp; " " &amp; SUM(H8:J8) + 3</f>
        <v>1d20 + 3</v>
      </c>
      <c r="P8" s="2"/>
      <c r="Q8" s="2"/>
    </row>
    <row r="9" spans="1:17" x14ac:dyDescent="0.25">
      <c r="A9" s="1" t="s">
        <v>177</v>
      </c>
      <c r="B9" s="2" t="s">
        <v>38</v>
      </c>
      <c r="C9" s="2" t="s">
        <v>28</v>
      </c>
      <c r="D9" s="2" t="s">
        <v>28</v>
      </c>
      <c r="E9" s="2" t="s">
        <v>28</v>
      </c>
      <c r="F9" s="2" t="s">
        <v>28</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 + 3</f>
        <v>1d10 + 3</v>
      </c>
      <c r="P9" s="2"/>
      <c r="Q9" s="2"/>
    </row>
    <row r="10" spans="1:17" x14ac:dyDescent="0.25">
      <c r="A10" s="1" t="s">
        <v>178</v>
      </c>
      <c r="B10" s="2" t="s">
        <v>37</v>
      </c>
      <c r="C10" s="2" t="s">
        <v>28</v>
      </c>
      <c r="D10" s="2" t="s">
        <v>28</v>
      </c>
      <c r="E10" s="2" t="s">
        <v>28</v>
      </c>
      <c r="F10" s="2" t="s">
        <v>28</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 + 3</f>
        <v>1d10 + 3</v>
      </c>
      <c r="P10" s="2"/>
      <c r="Q10" s="2"/>
    </row>
    <row r="11" spans="1:17" x14ac:dyDescent="0.25">
      <c r="A11" s="1" t="s">
        <v>219</v>
      </c>
      <c r="B11" s="2" t="s">
        <v>37</v>
      </c>
      <c r="C11" s="2" t="s">
        <v>27</v>
      </c>
      <c r="D11" s="2" t="s">
        <v>28</v>
      </c>
      <c r="E11" s="2" t="s">
        <v>28</v>
      </c>
      <c r="F11" s="2" t="s">
        <v>28</v>
      </c>
      <c r="G11" s="4" t="str">
        <f t="shared" si="1"/>
        <v>1d20</v>
      </c>
      <c r="H11" s="7">
        <f>IF(Table217[[#This Row],[Skilled]] = "YES",VLOOKUP(Table217[[#This Row],[Statistic]],Table1[[Code]:[STAT]],13,FALSE), 0)</f>
        <v>0</v>
      </c>
      <c r="I11" s="7">
        <f>IF(Table217[[#This Row],[Professional]]="Yes",LVL,0)</f>
        <v>0</v>
      </c>
      <c r="J11" s="2">
        <v>0</v>
      </c>
      <c r="K11" s="84" t="str">
        <f>Table217[[#This Row],[DICE]] &amp; " " &amp; CHAR(43) &amp; " " &amp; SUM(H11:J11) + 3</f>
        <v>1d20 + 3</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11" x14ac:dyDescent="0.25">
      <c r="A17" s="1" t="s">
        <v>48</v>
      </c>
      <c r="B17" s="84">
        <f>SUM(Table217[[#Totals],[Bought]:[Expert]])</f>
        <v>8</v>
      </c>
      <c r="C17" s="84">
        <f>COUNTIF(Table217[Bought],"Yes") * 2</f>
        <v>8</v>
      </c>
      <c r="D17" s="84">
        <f>COUNTIF(Table217[Skilled],"Yes") * 3</f>
        <v>0</v>
      </c>
      <c r="E17" s="84">
        <f>COUNTIF(Table217[Professional],"Yes") * 4</f>
        <v>0</v>
      </c>
      <c r="F17" s="84">
        <f>COUNTIF(Table217[Skilled],"Yes") * 5</f>
        <v>0</v>
      </c>
      <c r="G17" s="4"/>
      <c r="H17" s="84"/>
      <c r="I17" s="84"/>
      <c r="J17" s="84"/>
      <c r="K17" s="84"/>
    </row>
  </sheetData>
  <conditionalFormatting sqref="C2:F16">
    <cfRule type="containsText" dxfId="12" priority="4" operator="containsText" text="No">
      <formula>NOT(ISERROR(SEARCH("No",C2)))</formula>
    </cfRule>
  </conditionalFormatting>
  <conditionalFormatting sqref="H2:K16">
    <cfRule type="cellIs" dxfId="11"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F31" sqref="F31"/>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21</v>
      </c>
      <c r="B1" s="1" t="s">
        <v>101</v>
      </c>
      <c r="C1" s="1" t="s">
        <v>105</v>
      </c>
      <c r="D1" s="1" t="s">
        <v>106</v>
      </c>
      <c r="E1" s="1" t="s">
        <v>123</v>
      </c>
      <c r="F1" s="18" t="s">
        <v>201</v>
      </c>
      <c r="G1" s="1" t="s">
        <v>102</v>
      </c>
      <c r="H1" s="1" t="s">
        <v>103</v>
      </c>
      <c r="I1" s="1" t="s">
        <v>104</v>
      </c>
      <c r="J1" s="1" t="s">
        <v>116</v>
      </c>
      <c r="K1" s="1" t="s">
        <v>107</v>
      </c>
      <c r="L1" s="2" t="s">
        <v>51</v>
      </c>
      <c r="W1" s="1" t="s">
        <v>21</v>
      </c>
      <c r="X1" s="1" t="s">
        <v>107</v>
      </c>
    </row>
    <row r="2" spans="1:24" x14ac:dyDescent="0.25">
      <c r="A2" s="1" t="s">
        <v>108</v>
      </c>
      <c r="B2" s="2">
        <v>0</v>
      </c>
      <c r="C2" s="2">
        <f>WEAPON_DMG</f>
        <v>0</v>
      </c>
      <c r="D2" s="2">
        <f>EQ_DMG</f>
        <v>0</v>
      </c>
      <c r="E2" s="2">
        <v>0</v>
      </c>
      <c r="F2" s="2">
        <f>SUM(Table9[[#This Row],[Rank]:[Special]])</f>
        <v>0</v>
      </c>
      <c r="G2" s="2">
        <v>1</v>
      </c>
      <c r="H2" s="2" t="str">
        <f>CHAR(43)</f>
        <v>+</v>
      </c>
      <c r="I2" s="2"/>
      <c r="J2" s="2">
        <f>SUM(Table9[[#This Row],[Rank]:[Special]])*Table9[[#This Row],[Factor]]</f>
        <v>0</v>
      </c>
      <c r="K2" s="2" t="str">
        <f>Table9[[#This Row],[Prefix]] &amp; Table9[[#This Row],[CALC]]&amp; Table9[[#This Row],[Postfix]]</f>
        <v>+0</v>
      </c>
      <c r="L2" s="2">
        <f>IFERROR(VLOOKUP(Table9[[#This Row],[Rank]],RANK_LOOKUP,2,FALSE),0)</f>
        <v>0</v>
      </c>
      <c r="N2" s="1" t="s">
        <v>126</v>
      </c>
    </row>
    <row r="3" spans="1:24" x14ac:dyDescent="0.25">
      <c r="A3" s="1" t="s">
        <v>110</v>
      </c>
      <c r="B3" s="2">
        <v>0</v>
      </c>
      <c r="C3" s="2">
        <f>WEAPON_STAMINA</f>
        <v>0</v>
      </c>
      <c r="D3" s="2">
        <f>EQ_STAMINA</f>
        <v>3</v>
      </c>
      <c r="E3" s="2">
        <v>1</v>
      </c>
      <c r="F3" s="2">
        <f>SUM(Table9[[#This Row],[Rank]:[Special]])</f>
        <v>4</v>
      </c>
      <c r="G3" s="2">
        <v>0.1</v>
      </c>
      <c r="H3" s="2" t="str">
        <f>CHAR(43)</f>
        <v>+</v>
      </c>
      <c r="I3" s="2"/>
      <c r="J3" s="2">
        <f>ROUND(SUM(Table9[[#This Row],[Rank]:[Special]]) * 'Character Info'!D7 * Table9[[#This Row],[Factor]],0)</f>
        <v>6</v>
      </c>
      <c r="K3" s="2" t="str">
        <f>Table9[[#This Row],[Prefix]] &amp; Table9[[#This Row],[CALC]]&amp; Table9[[#This Row],[Postfix]]</f>
        <v>+6</v>
      </c>
      <c r="L3" s="2">
        <f>IFERROR(VLOOKUP(Table9[[#This Row],[Rank]],RANK_LOOKUP,2,FALSE),0)</f>
        <v>0</v>
      </c>
      <c r="N3" s="1" t="s">
        <v>125</v>
      </c>
    </row>
    <row r="4" spans="1:24" x14ac:dyDescent="0.25">
      <c r="A4" s="1" t="s">
        <v>111</v>
      </c>
      <c r="B4" s="2">
        <v>0</v>
      </c>
      <c r="C4" s="2">
        <f>WEAPON_CRIT</f>
        <v>0</v>
      </c>
      <c r="D4" s="2">
        <f>EQ_CRIT</f>
        <v>3</v>
      </c>
      <c r="E4" s="2">
        <v>0</v>
      </c>
      <c r="F4" s="2">
        <f>SUM(Table9[[#This Row],[Rank]:[Special]])</f>
        <v>3</v>
      </c>
      <c r="G4" s="10">
        <v>33</v>
      </c>
      <c r="H4" s="2"/>
      <c r="I4" s="2"/>
      <c r="J4" s="2">
        <f>ROUND(Table9[[#This Row],[TotalRank]]*Table9[[#This Row],[Factor]]/100, 0)</f>
        <v>1</v>
      </c>
      <c r="K4" s="2" t="str">
        <f>20 - Table9[[#This Row],[CALC]] &amp; ""</f>
        <v>19</v>
      </c>
      <c r="L4" s="2">
        <f>IFERROR(VLOOKUP(Table9[[#This Row],[Rank]],RANK_LOOKUP,2,FALSE),0)</f>
        <v>0</v>
      </c>
      <c r="N4" s="1" t="s">
        <v>127</v>
      </c>
    </row>
    <row r="5" spans="1:24" x14ac:dyDescent="0.25">
      <c r="A5" s="1" t="s">
        <v>113</v>
      </c>
      <c r="B5" s="2">
        <v>0</v>
      </c>
      <c r="C5" s="2">
        <f>WEAPON_CRITDMG</f>
        <v>0</v>
      </c>
      <c r="D5" s="2">
        <f>EQ_CRITDMG</f>
        <v>0</v>
      </c>
      <c r="E5" s="2">
        <v>0</v>
      </c>
      <c r="F5" s="2">
        <f>SUM(Table9[[#This Row],[Rank]:[Special]])</f>
        <v>0</v>
      </c>
      <c r="G5" s="2">
        <v>1</v>
      </c>
      <c r="H5" s="2" t="s">
        <v>114</v>
      </c>
      <c r="I5" s="2"/>
      <c r="J5" s="2">
        <f xml:space="preserve"> Table9[[#This Row],[Factor]] * Table9[[#This Row],[TotalRank]]</f>
        <v>0</v>
      </c>
      <c r="K5" s="2" t="str">
        <f>Table9[[#This Row],[Prefix]] &amp;Table9[[#This Row],[CALC]]&amp; "d4"</f>
        <v>+0d4</v>
      </c>
      <c r="L5" s="2">
        <f>IFERROR(VLOOKUP(Table9[[#This Row],[Rank]],RANK_LOOKUP,2,FALSE),0)</f>
        <v>0</v>
      </c>
      <c r="N5" s="1" t="s">
        <v>124</v>
      </c>
    </row>
    <row r="6" spans="1:24" x14ac:dyDescent="0.25">
      <c r="A6" s="1" t="s">
        <v>115</v>
      </c>
      <c r="B6" s="2">
        <v>0</v>
      </c>
      <c r="C6" s="2">
        <f>WEAPON_SPLASH</f>
        <v>0</v>
      </c>
      <c r="D6" s="2">
        <f>EQ_SPLASH</f>
        <v>0</v>
      </c>
      <c r="E6" s="2">
        <v>0</v>
      </c>
      <c r="F6" s="2">
        <f>SUM(Table9[[#This Row],[Rank]:[Special]])</f>
        <v>0</v>
      </c>
      <c r="G6" s="2">
        <v>20</v>
      </c>
      <c r="H6" s="2"/>
      <c r="I6" s="2" t="s">
        <v>112</v>
      </c>
      <c r="J6" s="2">
        <f>ROUND(Table9[[#This Row],[TotalRank]] * Table9[[#This Row],[Factor]], 0)</f>
        <v>0</v>
      </c>
      <c r="K6" s="2" t="str">
        <f>Table9[[#This Row],[CALC]]&amp; Table9[[#This Row],[Postfix]]</f>
        <v>0%</v>
      </c>
      <c r="L6" s="2">
        <f>IFERROR(VLOOKUP(Table9[[#This Row],[Rank]],RANK_LOOKUP,2,FALSE),0)</f>
        <v>0</v>
      </c>
      <c r="N6" s="1" t="s">
        <v>128</v>
      </c>
    </row>
    <row r="7" spans="1:24" x14ac:dyDescent="0.25">
      <c r="A7" s="1" t="s">
        <v>122</v>
      </c>
      <c r="B7" s="2">
        <v>0</v>
      </c>
      <c r="C7" s="2">
        <f>WEAPON_SPLASHDMG</f>
        <v>0</v>
      </c>
      <c r="D7" s="2">
        <f>EQ_SPLASHDMG</f>
        <v>0</v>
      </c>
      <c r="E7" s="2">
        <v>0</v>
      </c>
      <c r="F7" s="2">
        <f>SUM(Table9[[#This Row],[Rank]:[Special]])</f>
        <v>0</v>
      </c>
      <c r="G7" s="2">
        <v>1</v>
      </c>
      <c r="H7" s="2" t="s">
        <v>114</v>
      </c>
      <c r="I7" s="2"/>
      <c r="J7" s="2">
        <f xml:space="preserve"> Table9[[#This Row],[Factor]] * Table9[[#This Row],[TotalRank]]</f>
        <v>0</v>
      </c>
      <c r="K7" s="2" t="str">
        <f>Table9[[#This Row],[Prefix]] &amp;Table9[[#This Row],[CALC]]&amp; "d4"</f>
        <v>+0d4</v>
      </c>
      <c r="L7" s="2">
        <f>IFERROR(VLOOKUP(Table9[[#This Row],[Rank]],RANK_LOOKUP,2,FALSE),0)</f>
        <v>0</v>
      </c>
      <c r="N7" s="1" t="s">
        <v>129</v>
      </c>
    </row>
    <row r="8" spans="1:24" x14ac:dyDescent="0.25">
      <c r="A8" s="1" t="s">
        <v>68</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130</v>
      </c>
    </row>
    <row r="9" spans="1:24" x14ac:dyDescent="0.25">
      <c r="A9" s="1" t="s">
        <v>117</v>
      </c>
      <c r="B9" s="2">
        <v>0</v>
      </c>
      <c r="C9" s="2">
        <f>WEAPON_MOVEMENT</f>
        <v>0</v>
      </c>
      <c r="D9" s="2">
        <f>EQ_MOVEMENT + ARMOR_MOVEMENT</f>
        <v>-1</v>
      </c>
      <c r="E9" s="2">
        <v>0</v>
      </c>
      <c r="F9" s="2">
        <f>SUM(Table9[[#This Row],[Rank]:[Special]])</f>
        <v>-1</v>
      </c>
      <c r="G9" s="2">
        <v>2</v>
      </c>
      <c r="H9" s="2"/>
      <c r="I9" s="2" t="s">
        <v>118</v>
      </c>
      <c r="J9" s="2">
        <f>Table9[[#This Row],[TotalRank]] * Table9[[#This Row],[Factor]]</f>
        <v>-2</v>
      </c>
      <c r="K9" s="2" t="str">
        <f>IF(Table9[[#This Row],[CALC]] &gt; 0,"+","") &amp; Table9[[#This Row],[CALC]]&amp; Table9[[#This Row],[Postfix]]</f>
        <v>-2ft</v>
      </c>
      <c r="L9" s="2">
        <f>IFERROR(VLOOKUP(Table9[[#This Row],[Rank]],RANK_LOOKUP,2,FALSE),0)</f>
        <v>0</v>
      </c>
      <c r="N9" s="1" t="s">
        <v>210</v>
      </c>
    </row>
    <row r="10" spans="1:24" x14ac:dyDescent="0.25">
      <c r="A10" s="1" t="s">
        <v>119</v>
      </c>
      <c r="B10" s="2">
        <v>0</v>
      </c>
      <c r="C10" s="2">
        <f>WEAPON_EXTRAATTACK</f>
        <v>0</v>
      </c>
      <c r="D10" s="2">
        <f>EQ_EXTRAATTACK</f>
        <v>0</v>
      </c>
      <c r="E10" s="2">
        <v>0</v>
      </c>
      <c r="F10" s="2">
        <f>SUM(Table9[[#This Row],[Rank]:[Special]])</f>
        <v>0</v>
      </c>
      <c r="G10" s="2">
        <v>20</v>
      </c>
      <c r="H10" s="2"/>
      <c r="I10" s="2" t="s">
        <v>112</v>
      </c>
      <c r="J10" s="2">
        <f>ROUND(Table9[[#This Row],[TotalRank]] * Table9[[#This Row],[Factor]], 0)</f>
        <v>0</v>
      </c>
      <c r="K10" s="2" t="str">
        <f>Table9[[#This Row],[CALC]]&amp; Table9[[#This Row],[Postfix]]</f>
        <v>0%</v>
      </c>
      <c r="L10" s="2">
        <f>IFERROR(VLOOKUP(Table9[[#This Row],[Rank]],RANK_LOOKUP,2,FALSE),0)</f>
        <v>0</v>
      </c>
      <c r="N10" s="1" t="s">
        <v>131</v>
      </c>
    </row>
    <row r="11" spans="1:24" x14ac:dyDescent="0.25">
      <c r="A11" s="1" t="s">
        <v>120</v>
      </c>
      <c r="B11" s="2">
        <v>2</v>
      </c>
      <c r="C11" s="2">
        <f>WEAPON_ARMOR</f>
        <v>2</v>
      </c>
      <c r="D11" s="2">
        <f>EQ_ARMOR + ARMOR_ARMOR</f>
        <v>3</v>
      </c>
      <c r="E11" s="2">
        <v>1</v>
      </c>
      <c r="F11" s="2">
        <f>SUM(Table9[[#This Row],[Rank]:[Special]])</f>
        <v>8</v>
      </c>
      <c r="G11" s="2">
        <v>1</v>
      </c>
      <c r="H11" s="2" t="str">
        <f>CHAR(43)</f>
        <v>+</v>
      </c>
      <c r="I11" s="2"/>
      <c r="J11" s="2">
        <f>Table9[[#This Row],[TotalRank]] * Table9[[#This Row],[Factor]]</f>
        <v>8</v>
      </c>
      <c r="K11" s="2" t="str">
        <f>Table9[[#This Row],[Prefix]] &amp; Table9[[#This Row],[CALC]]</f>
        <v>+8</v>
      </c>
      <c r="L11" s="2">
        <f>IFERROR(VLOOKUP(Table9[[#This Row],[Rank]],RANK_LOOKUP,2,FALSE),0)</f>
        <v>5</v>
      </c>
      <c r="N11" s="1" t="s">
        <v>132</v>
      </c>
    </row>
    <row r="12" spans="1:24" x14ac:dyDescent="0.25">
      <c r="A12" s="1" t="s">
        <v>121</v>
      </c>
      <c r="B12" s="2">
        <v>2</v>
      </c>
      <c r="C12" s="2">
        <f>WEAPON_AURA</f>
        <v>5</v>
      </c>
      <c r="D12" s="2">
        <f>EQ_AURA</f>
        <v>2</v>
      </c>
      <c r="E12" s="2">
        <v>0</v>
      </c>
      <c r="F12" s="2">
        <f>SUM(Table9[[#This Row],[Rank]:[Special]])</f>
        <v>9</v>
      </c>
      <c r="G12" s="2">
        <v>1</v>
      </c>
      <c r="H12" s="2" t="str">
        <f>CHAR(43)</f>
        <v>+</v>
      </c>
      <c r="I12" s="2"/>
      <c r="J12" s="2">
        <f>Table9[[#This Row],[TotalRank]] * Table9[[#This Row],[Factor]]</f>
        <v>9</v>
      </c>
      <c r="K12" s="2" t="str">
        <f>Table9[[#This Row],[Prefix]] &amp; Table9[[#This Row],[CALC]]</f>
        <v>+9</v>
      </c>
      <c r="L12" s="2">
        <f>IFERROR(VLOOKUP(Table9[[#This Row],[Rank]],RANK_LOOKUP,2,FALSE),0)</f>
        <v>5</v>
      </c>
      <c r="N12" s="1" t="s">
        <v>133</v>
      </c>
    </row>
    <row r="13" spans="1:24" x14ac:dyDescent="0.25">
      <c r="A13" s="1" t="s">
        <v>140</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157</v>
      </c>
    </row>
    <row r="14" spans="1:24" x14ac:dyDescent="0.25">
      <c r="A14" s="1" t="s">
        <v>158</v>
      </c>
      <c r="B14" s="2">
        <v>2</v>
      </c>
      <c r="C14" s="2">
        <f>WEAPON_INI</f>
        <v>0</v>
      </c>
      <c r="D14" s="2">
        <f>ARMOR_INI</f>
        <v>-1</v>
      </c>
      <c r="E14" s="2">
        <v>0</v>
      </c>
      <c r="F14" s="2">
        <f>SUM(Table9[[#This Row],[Rank]:[Special]])</f>
        <v>1</v>
      </c>
      <c r="G14" s="2">
        <v>2</v>
      </c>
      <c r="H14" s="2"/>
      <c r="I14" s="2"/>
      <c r="J14" s="2">
        <f>Table9[[#This Row],[TotalRank]] * Table9[[#This Row],[Factor]]</f>
        <v>2</v>
      </c>
      <c r="K14" s="2" t="str">
        <f>Table9[[#This Row],[Prefix]] &amp; SUM(Table9[[#This Row],[Rank]:[Special]])*Table9[[#This Row],[Factor]] &amp; Table9[[#This Row],[Postfix]]</f>
        <v>2</v>
      </c>
      <c r="L14" s="2">
        <f>IFERROR(VLOOKUP(Table9[[#This Row],[Rank]],RANK_LOOKUP,2,FALSE),0)</f>
        <v>5</v>
      </c>
      <c r="N14" s="1" t="s">
        <v>208</v>
      </c>
    </row>
    <row r="15" spans="1:24" x14ac:dyDescent="0.25">
      <c r="A15" s="1" t="s">
        <v>209</v>
      </c>
      <c r="B15" s="2">
        <v>2</v>
      </c>
      <c r="C15" s="2">
        <f>WEAPON_AP</f>
        <v>1</v>
      </c>
      <c r="D15" s="2">
        <v>0</v>
      </c>
      <c r="E15" s="2">
        <v>0</v>
      </c>
      <c r="F15" s="2">
        <f>SUM(Table9[[#This Row],[Rank]:[Special]])</f>
        <v>3</v>
      </c>
      <c r="G15" s="2">
        <v>1</v>
      </c>
      <c r="H15" s="2"/>
      <c r="I15" s="2"/>
      <c r="J15" s="2">
        <f>Table9[[#This Row],[Factor]]*Table9[[#This Row],[TotalRank]]</f>
        <v>3</v>
      </c>
      <c r="K15" s="2">
        <f>Table9[[#This Row],[CALC]]</f>
        <v>3</v>
      </c>
      <c r="L15" s="2">
        <f>IFERROR(VLOOKUP(Table9[[#This Row],[Rank]],RANK_LOOKUP,2,FALSE),0)</f>
        <v>5</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5"/>
      <c r="C20" s="75"/>
      <c r="D20" s="75"/>
      <c r="E20" s="75"/>
      <c r="F20" s="75"/>
      <c r="G20" s="75"/>
      <c r="H20" s="75"/>
      <c r="I20" s="75"/>
      <c r="J20" s="75"/>
      <c r="K20" s="75"/>
      <c r="L20" s="75">
        <f>SUM(Table9[XP])</f>
        <v>20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L31" sqref="L31"/>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6" t="s">
        <v>62</v>
      </c>
      <c r="D1" s="126"/>
      <c r="E1" s="126"/>
      <c r="F1" s="126"/>
      <c r="G1" s="126"/>
      <c r="H1" s="126"/>
      <c r="I1" s="126"/>
      <c r="J1" s="126"/>
      <c r="K1" s="126"/>
      <c r="L1" s="126"/>
      <c r="M1" s="126"/>
      <c r="N1" s="126"/>
      <c r="O1" s="126"/>
      <c r="P1" s="126"/>
      <c r="Q1" s="126" t="s">
        <v>184</v>
      </c>
      <c r="R1" s="126"/>
      <c r="S1" s="126"/>
      <c r="T1" s="126"/>
      <c r="U1" s="126"/>
      <c r="V1" s="28"/>
      <c r="W1" s="28"/>
    </row>
    <row r="2" spans="1:23" ht="42" customHeight="1" x14ac:dyDescent="0.25">
      <c r="A2" s="19" t="s">
        <v>138</v>
      </c>
      <c r="B2" s="19" t="s">
        <v>21</v>
      </c>
      <c r="C2" s="19" t="s">
        <v>152</v>
      </c>
      <c r="D2" s="20" t="s">
        <v>108</v>
      </c>
      <c r="E2" s="20" t="s">
        <v>110</v>
      </c>
      <c r="F2" s="20" t="s">
        <v>111</v>
      </c>
      <c r="G2" s="20" t="s">
        <v>113</v>
      </c>
      <c r="H2" s="20" t="s">
        <v>139</v>
      </c>
      <c r="I2" s="20" t="s">
        <v>155</v>
      </c>
      <c r="J2" s="20" t="s">
        <v>153</v>
      </c>
      <c r="K2" s="20" t="s">
        <v>154</v>
      </c>
      <c r="L2" s="20" t="s">
        <v>156</v>
      </c>
      <c r="M2" s="20" t="s">
        <v>120</v>
      </c>
      <c r="N2" s="20" t="s">
        <v>121</v>
      </c>
      <c r="O2" s="20" t="s">
        <v>140</v>
      </c>
      <c r="P2" s="21" t="s">
        <v>159</v>
      </c>
      <c r="Q2" s="24" t="s">
        <v>35</v>
      </c>
      <c r="R2" s="21" t="s">
        <v>36</v>
      </c>
      <c r="S2" s="21" t="s">
        <v>37</v>
      </c>
      <c r="T2" s="21" t="s">
        <v>54</v>
      </c>
      <c r="U2" s="21" t="s">
        <v>38</v>
      </c>
      <c r="V2" s="21" t="s">
        <v>136</v>
      </c>
    </row>
    <row r="3" spans="1:23" x14ac:dyDescent="0.25">
      <c r="A3" s="1" t="s">
        <v>141</v>
      </c>
      <c r="C3" s="2" t="s">
        <v>27</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142</v>
      </c>
      <c r="B4" s="1" t="s">
        <v>151</v>
      </c>
      <c r="C4" s="2" t="s">
        <v>27</v>
      </c>
      <c r="D4" s="2">
        <v>0</v>
      </c>
      <c r="E4" s="81">
        <v>3</v>
      </c>
      <c r="F4" s="81">
        <v>0</v>
      </c>
      <c r="G4" s="81">
        <v>0</v>
      </c>
      <c r="H4" s="81">
        <v>0</v>
      </c>
      <c r="I4" s="81">
        <v>0</v>
      </c>
      <c r="J4" s="81">
        <v>0</v>
      </c>
      <c r="K4" s="81">
        <v>0</v>
      </c>
      <c r="L4" s="81">
        <v>0</v>
      </c>
      <c r="M4" s="81">
        <v>2</v>
      </c>
      <c r="N4" s="81">
        <v>2</v>
      </c>
      <c r="O4" s="81">
        <v>0</v>
      </c>
      <c r="P4" s="81">
        <v>3</v>
      </c>
      <c r="Q4" s="25">
        <v>0</v>
      </c>
      <c r="R4" s="2">
        <v>0</v>
      </c>
      <c r="S4" s="2">
        <v>20</v>
      </c>
      <c r="T4" s="2">
        <v>0</v>
      </c>
      <c r="U4" s="2">
        <v>0</v>
      </c>
      <c r="V4" s="22" t="s">
        <v>151</v>
      </c>
    </row>
    <row r="5" spans="1:23" x14ac:dyDescent="0.25">
      <c r="A5" s="1" t="s">
        <v>143</v>
      </c>
      <c r="B5" s="1" t="s">
        <v>151</v>
      </c>
      <c r="C5" s="2" t="s">
        <v>27</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151</v>
      </c>
    </row>
    <row r="6" spans="1:23" x14ac:dyDescent="0.25">
      <c r="A6" s="1" t="s">
        <v>144</v>
      </c>
      <c r="B6" s="1" t="s">
        <v>151</v>
      </c>
      <c r="C6" s="2" t="s">
        <v>27</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151</v>
      </c>
    </row>
    <row r="7" spans="1:23" x14ac:dyDescent="0.25">
      <c r="A7" s="1" t="s">
        <v>149</v>
      </c>
      <c r="B7" s="1" t="s">
        <v>151</v>
      </c>
      <c r="C7" s="2" t="s">
        <v>27</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151</v>
      </c>
    </row>
    <row r="8" spans="1:23" x14ac:dyDescent="0.25">
      <c r="A8" s="1" t="s">
        <v>145</v>
      </c>
      <c r="B8" s="1" t="s">
        <v>151</v>
      </c>
      <c r="C8" s="2" t="s">
        <v>27</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151</v>
      </c>
    </row>
    <row r="9" spans="1:23" x14ac:dyDescent="0.25">
      <c r="A9" s="1" t="s">
        <v>146</v>
      </c>
      <c r="B9" s="1" t="s">
        <v>151</v>
      </c>
      <c r="C9" s="2" t="s">
        <v>27</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151</v>
      </c>
    </row>
    <row r="10" spans="1:23" x14ac:dyDescent="0.25">
      <c r="A10" s="1" t="s">
        <v>147</v>
      </c>
      <c r="C10" s="2" t="s">
        <v>27</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148</v>
      </c>
      <c r="C11" s="2" t="s">
        <v>27</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150</v>
      </c>
      <c r="C12" s="2" t="s">
        <v>27</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137</v>
      </c>
      <c r="C13" s="2" t="s">
        <v>28</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137</v>
      </c>
      <c r="C14" s="2" t="s">
        <v>28</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137</v>
      </c>
      <c r="C15" s="2" t="s">
        <v>28</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137</v>
      </c>
      <c r="C16" s="2" t="s">
        <v>28</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137</v>
      </c>
      <c r="C17" s="2" t="s">
        <v>28</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137</v>
      </c>
      <c r="C18" s="2" t="s">
        <v>28</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137</v>
      </c>
      <c r="C19" s="2" t="s">
        <v>28</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137</v>
      </c>
      <c r="C20" s="2" t="s">
        <v>28</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137</v>
      </c>
      <c r="C21" s="2" t="s">
        <v>28</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48</v>
      </c>
      <c r="C22" s="81"/>
      <c r="D22" s="81">
        <f>SUMIF(Table12[Enabled],"Yes",Table12[DMG])</f>
        <v>0</v>
      </c>
      <c r="E22" s="81">
        <f>SUMIF(Table12[Enabled],"Yes",Table12[Stamina])</f>
        <v>3</v>
      </c>
      <c r="F22" s="81">
        <f>SUMIF(Table12[Enabled],"Yes",Table12[Stamina])</f>
        <v>3</v>
      </c>
      <c r="G22" s="81">
        <f>SUMIF(Table12[Enabled],"Yes",Table12[Crit DMG])</f>
        <v>0</v>
      </c>
      <c r="H22" s="81">
        <f>SUMIF(Table12[Enabled],"Yes",Table12[Splash])</f>
        <v>0</v>
      </c>
      <c r="I22" s="81">
        <f>SUMIF(Table12[Enabled],"Yes",Table12[Splash 
DMG])</f>
        <v>0</v>
      </c>
      <c r="J22" s="81">
        <f>SUMIF(Table12[Enabled],"Yes",Table12[Exprt.])</f>
        <v>0</v>
      </c>
      <c r="K22" s="81">
        <f>SUMIF(Table12[Enabled],"Yes",Table12[Mvmt.])</f>
        <v>0</v>
      </c>
      <c r="L22" s="81">
        <f>SUMIF(Table12[Enabled],"Yes",Table12[Extra 
Attack])</f>
        <v>0</v>
      </c>
      <c r="M22" s="81">
        <f>SUMIF(Table12[Enabled],"Yes",Table12[Armor])</f>
        <v>2</v>
      </c>
      <c r="N22" s="81">
        <f>SUMIF(Table12[Enabled],"Yes",Table12[Aura])</f>
        <v>2</v>
      </c>
      <c r="O22" s="81">
        <f>SUMIF(Table12[Enabled],"Yes",Table12[Directed Strike])</f>
        <v>0</v>
      </c>
      <c r="P22" s="81">
        <f>SUMIF(Table12[Enabled],"Yes",Table12[INI])</f>
        <v>3</v>
      </c>
      <c r="Q22" s="25">
        <f>SUMIF(Table12[Enabled],"Yes",Table12[STR])</f>
        <v>0</v>
      </c>
      <c r="R22" s="81">
        <f>SUMIF(Table12[Enabled],"Yes",Table12[AGI])</f>
        <v>0</v>
      </c>
      <c r="S22" s="81">
        <f>SUMIF(Table12[Enabled],"Yes",Table12[INU])</f>
        <v>20</v>
      </c>
      <c r="T22" s="81">
        <f>SUMIF(Table12[Enabled],"Yes",Table12[CHA])</f>
        <v>0</v>
      </c>
      <c r="U22" s="81">
        <f>SUMIF(Table12[Enabled],"Yes",Table12[PER])</f>
        <v>0</v>
      </c>
      <c r="V22" s="81"/>
    </row>
    <row r="24" spans="1:22" x14ac:dyDescent="0.25">
      <c r="B24" s="1" t="s">
        <v>163</v>
      </c>
      <c r="C24" s="2" t="s">
        <v>120</v>
      </c>
      <c r="D24" s="2" t="s">
        <v>159</v>
      </c>
      <c r="E24" s="2" t="s">
        <v>179</v>
      </c>
      <c r="F24" s="2" t="s">
        <v>20</v>
      </c>
    </row>
    <row r="25" spans="1:22" x14ac:dyDescent="0.25">
      <c r="A25" s="1" t="s">
        <v>120</v>
      </c>
      <c r="B25" s="1" t="s">
        <v>151</v>
      </c>
      <c r="C25" s="2">
        <f>VLOOKUP($B$25,ARMOR_TYPE,2,FALSE)</f>
        <v>1</v>
      </c>
      <c r="D25" s="2">
        <f>VLOOKUP($B$25,ARMOR_TYPE,3,FALSE)</f>
        <v>-1</v>
      </c>
      <c r="E25" s="2">
        <f>VLOOKUP($B$25,ARMOR_TYPE,4,FALSE)</f>
        <v>-1</v>
      </c>
      <c r="F25" s="2">
        <v>0</v>
      </c>
    </row>
    <row r="26" spans="1:22" x14ac:dyDescent="0.25">
      <c r="A26" s="1" t="s">
        <v>168</v>
      </c>
      <c r="B26" s="1" t="s">
        <v>137</v>
      </c>
      <c r="C26" s="2">
        <f>VLOOKUP($B$26,SHIELD_TYPE,2,FALSE)</f>
        <v>0</v>
      </c>
      <c r="D26" s="2">
        <f>VLOOKUP($B$26,SHIELD_TYPE,3,FALSE)</f>
        <v>0</v>
      </c>
      <c r="E26" s="2">
        <f>VLOOKUP($B$26,SHIELD_TYPE,4,FALSE)</f>
        <v>0</v>
      </c>
      <c r="F26" s="2">
        <f>VLOOKUP($B$26,SHIELD_TYPE,5,FALSE)</f>
        <v>0</v>
      </c>
    </row>
    <row r="27" spans="1:22" x14ac:dyDescent="0.25">
      <c r="A27" s="71" t="s">
        <v>207</v>
      </c>
      <c r="B27" s="71"/>
      <c r="C27" s="72">
        <f>SUM(C25:C26)</f>
        <v>1</v>
      </c>
      <c r="D27" s="72">
        <f>SUM(D25:D26)</f>
        <v>-1</v>
      </c>
      <c r="E27" s="72">
        <f>SUM(E25:E26)</f>
        <v>-1</v>
      </c>
      <c r="F27" s="72">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topLeftCell="M2" workbookViewId="0">
      <selection activeCell="AA3" sqref="AA3"/>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6" t="s">
        <v>105</v>
      </c>
      <c r="D1" s="126"/>
      <c r="E1" s="126"/>
      <c r="F1" s="126" t="s">
        <v>62</v>
      </c>
      <c r="G1" s="126"/>
      <c r="H1" s="126"/>
      <c r="I1" s="126"/>
      <c r="J1" s="126"/>
      <c r="K1" s="126"/>
      <c r="L1" s="126"/>
      <c r="M1" s="126"/>
      <c r="N1" s="126"/>
      <c r="O1" s="126"/>
      <c r="P1" s="126"/>
      <c r="Q1" s="126"/>
      <c r="R1" s="126"/>
      <c r="S1" s="126" t="s">
        <v>184</v>
      </c>
      <c r="T1" s="126"/>
      <c r="U1" s="126"/>
      <c r="V1" s="126"/>
      <c r="W1" s="126"/>
    </row>
    <row r="2" spans="1:29" ht="42" customHeight="1" x14ac:dyDescent="0.25">
      <c r="A2" s="19" t="s">
        <v>21</v>
      </c>
      <c r="B2" s="19" t="s">
        <v>152</v>
      </c>
      <c r="C2" s="19" t="s">
        <v>163</v>
      </c>
      <c r="D2" s="27" t="s">
        <v>181</v>
      </c>
      <c r="E2" s="19" t="s">
        <v>182</v>
      </c>
      <c r="F2" s="19" t="s">
        <v>183</v>
      </c>
      <c r="G2" s="19" t="s">
        <v>159</v>
      </c>
      <c r="H2" s="26" t="s">
        <v>108</v>
      </c>
      <c r="I2" s="20" t="s">
        <v>110</v>
      </c>
      <c r="J2" s="20" t="s">
        <v>111</v>
      </c>
      <c r="K2" s="20" t="s">
        <v>113</v>
      </c>
      <c r="L2" s="20" t="s">
        <v>139</v>
      </c>
      <c r="M2" s="20" t="s">
        <v>155</v>
      </c>
      <c r="N2" s="20" t="s">
        <v>153</v>
      </c>
      <c r="O2" s="20" t="s">
        <v>154</v>
      </c>
      <c r="P2" s="20" t="s">
        <v>156</v>
      </c>
      <c r="Q2" s="20" t="s">
        <v>120</v>
      </c>
      <c r="R2" s="20" t="s">
        <v>121</v>
      </c>
      <c r="S2" s="20" t="s">
        <v>140</v>
      </c>
      <c r="T2" s="20" t="s">
        <v>209</v>
      </c>
      <c r="U2" s="21" t="s">
        <v>216</v>
      </c>
      <c r="V2" s="24" t="s">
        <v>35</v>
      </c>
      <c r="W2" s="21" t="s">
        <v>36</v>
      </c>
      <c r="X2" s="21" t="s">
        <v>37</v>
      </c>
      <c r="Y2" s="21" t="s">
        <v>54</v>
      </c>
      <c r="Z2" s="21" t="s">
        <v>38</v>
      </c>
      <c r="AA2" s="20" t="s">
        <v>107</v>
      </c>
    </row>
    <row r="3" spans="1:29" x14ac:dyDescent="0.25">
      <c r="A3" s="1" t="s">
        <v>217</v>
      </c>
      <c r="B3" s="2" t="s">
        <v>27</v>
      </c>
      <c r="C3" s="2" t="s">
        <v>204</v>
      </c>
      <c r="D3" s="4">
        <v>1</v>
      </c>
      <c r="E3" s="2">
        <v>12</v>
      </c>
      <c r="F3" s="2">
        <v>2</v>
      </c>
      <c r="G3" s="2">
        <v>10</v>
      </c>
      <c r="H3" s="4">
        <v>0</v>
      </c>
      <c r="I3" s="2">
        <v>0</v>
      </c>
      <c r="J3" s="2">
        <v>0</v>
      </c>
      <c r="K3" s="2">
        <v>0</v>
      </c>
      <c r="L3" s="2">
        <v>0</v>
      </c>
      <c r="M3" s="2">
        <v>0</v>
      </c>
      <c r="N3" s="2">
        <v>0</v>
      </c>
      <c r="O3" s="2">
        <v>0</v>
      </c>
      <c r="P3" s="2">
        <v>0</v>
      </c>
      <c r="Q3" s="2">
        <v>2</v>
      </c>
      <c r="R3" s="2">
        <v>5</v>
      </c>
      <c r="S3" s="2">
        <v>0</v>
      </c>
      <c r="T3" s="79">
        <v>1</v>
      </c>
      <c r="U3" s="2">
        <v>0</v>
      </c>
      <c r="V3" s="25">
        <v>0</v>
      </c>
      <c r="W3" s="2">
        <v>0</v>
      </c>
      <c r="X3" s="2">
        <v>15</v>
      </c>
      <c r="Y3" s="2">
        <v>0</v>
      </c>
      <c r="Z3" s="2">
        <v>0</v>
      </c>
      <c r="AA3" s="73"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Source: 1d12+2+7+0  INI:10</v>
      </c>
      <c r="AC3" s="1" t="s">
        <v>264</v>
      </c>
    </row>
    <row r="4" spans="1:29" x14ac:dyDescent="0.25">
      <c r="B4" s="2" t="s">
        <v>28</v>
      </c>
      <c r="C4" s="2"/>
      <c r="D4" s="4"/>
      <c r="E4" s="2"/>
      <c r="F4" s="2"/>
      <c r="G4" s="2"/>
      <c r="H4" s="4">
        <v>0</v>
      </c>
      <c r="I4" s="2">
        <v>0</v>
      </c>
      <c r="J4" s="2">
        <v>0</v>
      </c>
      <c r="K4" s="2">
        <v>0</v>
      </c>
      <c r="L4" s="2">
        <v>0</v>
      </c>
      <c r="M4" s="2">
        <v>0</v>
      </c>
      <c r="N4" s="2">
        <v>0</v>
      </c>
      <c r="O4" s="2">
        <v>0</v>
      </c>
      <c r="P4" s="2">
        <v>0</v>
      </c>
      <c r="Q4" s="2">
        <v>0</v>
      </c>
      <c r="R4" s="2">
        <v>0</v>
      </c>
      <c r="S4" s="2">
        <v>0</v>
      </c>
      <c r="T4" s="79">
        <v>0</v>
      </c>
      <c r="U4" s="2">
        <v>0</v>
      </c>
      <c r="V4" s="25">
        <v>0</v>
      </c>
      <c r="W4" s="2">
        <v>0</v>
      </c>
      <c r="X4" s="2">
        <v>0</v>
      </c>
      <c r="Y4" s="2">
        <v>0</v>
      </c>
      <c r="Z4" s="2">
        <v>0</v>
      </c>
      <c r="AA4" s="73"/>
    </row>
    <row r="5" spans="1:29" x14ac:dyDescent="0.25">
      <c r="B5" s="2" t="s">
        <v>28</v>
      </c>
      <c r="C5" s="2"/>
      <c r="D5" s="4"/>
      <c r="E5" s="2"/>
      <c r="F5" s="2"/>
      <c r="G5" s="2"/>
      <c r="H5" s="4">
        <v>0</v>
      </c>
      <c r="I5" s="2">
        <v>0</v>
      </c>
      <c r="J5" s="2">
        <v>0</v>
      </c>
      <c r="K5" s="2">
        <v>0</v>
      </c>
      <c r="L5" s="2">
        <v>0</v>
      </c>
      <c r="M5" s="2">
        <v>0</v>
      </c>
      <c r="N5" s="2">
        <v>0</v>
      </c>
      <c r="O5" s="2">
        <v>0</v>
      </c>
      <c r="P5" s="2">
        <v>0</v>
      </c>
      <c r="Q5" s="2">
        <v>0</v>
      </c>
      <c r="R5" s="2">
        <v>0</v>
      </c>
      <c r="S5" s="2">
        <v>0</v>
      </c>
      <c r="T5" s="79">
        <v>0</v>
      </c>
      <c r="U5" s="2">
        <v>0</v>
      </c>
      <c r="V5" s="25">
        <v>0</v>
      </c>
      <c r="W5" s="2">
        <v>0</v>
      </c>
      <c r="X5" s="2">
        <v>0</v>
      </c>
      <c r="Y5" s="2">
        <v>0</v>
      </c>
      <c r="Z5" s="2">
        <v>0</v>
      </c>
      <c r="AA5" s="73"/>
    </row>
    <row r="6" spans="1:29" x14ac:dyDescent="0.25">
      <c r="B6" s="2" t="s">
        <v>28</v>
      </c>
      <c r="C6" s="2"/>
      <c r="D6" s="4"/>
      <c r="E6" s="2"/>
      <c r="F6" s="2"/>
      <c r="G6" s="2"/>
      <c r="H6" s="4">
        <v>0</v>
      </c>
      <c r="I6" s="2">
        <v>0</v>
      </c>
      <c r="J6" s="2">
        <v>0</v>
      </c>
      <c r="K6" s="2">
        <v>0</v>
      </c>
      <c r="L6" s="2">
        <v>0</v>
      </c>
      <c r="M6" s="2">
        <v>0</v>
      </c>
      <c r="N6" s="2">
        <v>0</v>
      </c>
      <c r="O6" s="2">
        <v>0</v>
      </c>
      <c r="P6" s="2">
        <v>0</v>
      </c>
      <c r="Q6" s="2">
        <v>0</v>
      </c>
      <c r="R6" s="2">
        <v>0</v>
      </c>
      <c r="S6" s="2">
        <v>0</v>
      </c>
      <c r="T6" s="79">
        <v>0</v>
      </c>
      <c r="U6" s="2">
        <v>0</v>
      </c>
      <c r="V6" s="25">
        <v>0</v>
      </c>
      <c r="W6" s="2">
        <v>0</v>
      </c>
      <c r="X6" s="2">
        <v>0</v>
      </c>
      <c r="Y6" s="2">
        <v>0</v>
      </c>
      <c r="Z6" s="2">
        <v>0</v>
      </c>
      <c r="AA6" s="73"/>
    </row>
    <row r="7" spans="1:29" x14ac:dyDescent="0.25">
      <c r="B7" s="2" t="s">
        <v>28</v>
      </c>
      <c r="C7" s="2"/>
      <c r="D7" s="4"/>
      <c r="E7" s="2"/>
      <c r="F7" s="2"/>
      <c r="G7" s="2"/>
      <c r="H7" s="4">
        <v>0</v>
      </c>
      <c r="I7" s="2">
        <v>0</v>
      </c>
      <c r="J7" s="2">
        <v>0</v>
      </c>
      <c r="K7" s="2">
        <v>0</v>
      </c>
      <c r="L7" s="2">
        <v>0</v>
      </c>
      <c r="M7" s="2">
        <v>0</v>
      </c>
      <c r="N7" s="2">
        <v>0</v>
      </c>
      <c r="O7" s="2">
        <v>0</v>
      </c>
      <c r="P7" s="2">
        <v>0</v>
      </c>
      <c r="Q7" s="2">
        <v>0</v>
      </c>
      <c r="R7" s="2">
        <v>0</v>
      </c>
      <c r="S7" s="2">
        <v>0</v>
      </c>
      <c r="T7" s="79">
        <v>0</v>
      </c>
      <c r="U7" s="2">
        <v>0</v>
      </c>
      <c r="V7" s="25">
        <v>0</v>
      </c>
      <c r="W7" s="2">
        <v>0</v>
      </c>
      <c r="X7" s="2">
        <v>0</v>
      </c>
      <c r="Y7" s="2">
        <v>0</v>
      </c>
      <c r="Z7" s="2">
        <v>0</v>
      </c>
      <c r="AA7" s="73"/>
    </row>
    <row r="8" spans="1:29" x14ac:dyDescent="0.25">
      <c r="B8" s="2" t="s">
        <v>28</v>
      </c>
      <c r="C8" s="2"/>
      <c r="D8" s="4"/>
      <c r="E8" s="2"/>
      <c r="F8" s="2"/>
      <c r="G8" s="2"/>
      <c r="H8" s="4">
        <v>0</v>
      </c>
      <c r="I8" s="2">
        <v>0</v>
      </c>
      <c r="J8" s="2">
        <v>0</v>
      </c>
      <c r="K8" s="2">
        <v>0</v>
      </c>
      <c r="L8" s="2">
        <v>0</v>
      </c>
      <c r="M8" s="2">
        <v>0</v>
      </c>
      <c r="N8" s="2">
        <v>0</v>
      </c>
      <c r="O8" s="2">
        <v>0</v>
      </c>
      <c r="P8" s="2">
        <v>0</v>
      </c>
      <c r="Q8" s="2">
        <v>0</v>
      </c>
      <c r="R8" s="2">
        <v>0</v>
      </c>
      <c r="S8" s="2">
        <v>0</v>
      </c>
      <c r="T8" s="79">
        <v>0</v>
      </c>
      <c r="U8" s="2">
        <v>0</v>
      </c>
      <c r="V8" s="25">
        <v>0</v>
      </c>
      <c r="W8" s="2">
        <v>0</v>
      </c>
      <c r="X8" s="2">
        <v>0</v>
      </c>
      <c r="Y8" s="2">
        <v>0</v>
      </c>
      <c r="Z8" s="2">
        <v>0</v>
      </c>
      <c r="AA8" s="73"/>
    </row>
    <row r="9" spans="1:29" x14ac:dyDescent="0.25">
      <c r="B9" s="2" t="s">
        <v>28</v>
      </c>
      <c r="C9" s="2"/>
      <c r="D9" s="4"/>
      <c r="E9" s="2"/>
      <c r="F9" s="2"/>
      <c r="G9" s="2"/>
      <c r="H9" s="4">
        <v>0</v>
      </c>
      <c r="I9" s="2">
        <v>0</v>
      </c>
      <c r="J9" s="2">
        <v>0</v>
      </c>
      <c r="K9" s="2">
        <v>0</v>
      </c>
      <c r="L9" s="2">
        <v>0</v>
      </c>
      <c r="M9" s="2">
        <v>0</v>
      </c>
      <c r="N9" s="2">
        <v>0</v>
      </c>
      <c r="O9" s="2">
        <v>0</v>
      </c>
      <c r="P9" s="2">
        <v>0</v>
      </c>
      <c r="Q9" s="2">
        <v>0</v>
      </c>
      <c r="R9" s="2">
        <v>0</v>
      </c>
      <c r="S9" s="2">
        <v>0</v>
      </c>
      <c r="T9" s="79">
        <v>0</v>
      </c>
      <c r="U9" s="2">
        <v>0</v>
      </c>
      <c r="V9" s="25">
        <v>0</v>
      </c>
      <c r="W9" s="2">
        <v>0</v>
      </c>
      <c r="X9" s="2">
        <v>0</v>
      </c>
      <c r="Y9" s="2">
        <v>0</v>
      </c>
      <c r="Z9" s="2">
        <v>0</v>
      </c>
      <c r="AA9" s="73"/>
    </row>
    <row r="10" spans="1:29" x14ac:dyDescent="0.25">
      <c r="B10" s="2" t="s">
        <v>28</v>
      </c>
      <c r="C10" s="2"/>
      <c r="D10" s="4"/>
      <c r="E10" s="2"/>
      <c r="F10" s="2"/>
      <c r="G10" s="2"/>
      <c r="H10" s="4">
        <v>0</v>
      </c>
      <c r="I10" s="2">
        <v>0</v>
      </c>
      <c r="J10" s="2">
        <v>0</v>
      </c>
      <c r="K10" s="2">
        <v>0</v>
      </c>
      <c r="L10" s="2">
        <v>0</v>
      </c>
      <c r="M10" s="2">
        <v>0</v>
      </c>
      <c r="N10" s="2">
        <v>0</v>
      </c>
      <c r="O10" s="2">
        <v>0</v>
      </c>
      <c r="P10" s="2">
        <v>0</v>
      </c>
      <c r="Q10" s="2">
        <v>0</v>
      </c>
      <c r="R10" s="2">
        <v>0</v>
      </c>
      <c r="S10" s="2">
        <v>0</v>
      </c>
      <c r="T10" s="79">
        <v>0</v>
      </c>
      <c r="U10" s="2">
        <v>0</v>
      </c>
      <c r="V10" s="25">
        <v>0</v>
      </c>
      <c r="W10" s="2">
        <v>0</v>
      </c>
      <c r="X10" s="2">
        <v>0</v>
      </c>
      <c r="Y10" s="2">
        <v>0</v>
      </c>
      <c r="Z10" s="2">
        <v>0</v>
      </c>
      <c r="AA10" s="73"/>
    </row>
    <row r="11" spans="1:29" x14ac:dyDescent="0.25">
      <c r="B11" s="2" t="s">
        <v>28</v>
      </c>
      <c r="C11" s="2"/>
      <c r="D11" s="4"/>
      <c r="E11" s="2"/>
      <c r="F11" s="2"/>
      <c r="G11" s="2"/>
      <c r="H11" s="4">
        <v>0</v>
      </c>
      <c r="I11" s="2">
        <v>0</v>
      </c>
      <c r="J11" s="2">
        <v>0</v>
      </c>
      <c r="K11" s="2">
        <v>0</v>
      </c>
      <c r="L11" s="2">
        <v>0</v>
      </c>
      <c r="M11" s="2">
        <v>0</v>
      </c>
      <c r="N11" s="2">
        <v>0</v>
      </c>
      <c r="O11" s="2">
        <v>0</v>
      </c>
      <c r="P11" s="2">
        <v>0</v>
      </c>
      <c r="Q11" s="2">
        <v>0</v>
      </c>
      <c r="R11" s="2">
        <v>0</v>
      </c>
      <c r="S11" s="2">
        <v>0</v>
      </c>
      <c r="T11" s="79">
        <v>0</v>
      </c>
      <c r="U11" s="2">
        <v>0</v>
      </c>
      <c r="V11" s="25">
        <v>0</v>
      </c>
      <c r="W11" s="2">
        <v>0</v>
      </c>
      <c r="X11" s="2">
        <v>0</v>
      </c>
      <c r="Y11" s="2">
        <v>0</v>
      </c>
      <c r="Z11" s="2">
        <v>0</v>
      </c>
      <c r="AA11" s="73"/>
    </row>
    <row r="12" spans="1:29" x14ac:dyDescent="0.25">
      <c r="B12" s="2" t="s">
        <v>28</v>
      </c>
      <c r="C12" s="2"/>
      <c r="D12" s="4"/>
      <c r="E12" s="2"/>
      <c r="F12" s="2"/>
      <c r="G12" s="2"/>
      <c r="H12" s="4">
        <v>0</v>
      </c>
      <c r="I12" s="2">
        <v>0</v>
      </c>
      <c r="J12" s="2">
        <v>0</v>
      </c>
      <c r="K12" s="2">
        <v>0</v>
      </c>
      <c r="L12" s="2">
        <v>0</v>
      </c>
      <c r="M12" s="2">
        <v>0</v>
      </c>
      <c r="N12" s="2">
        <v>0</v>
      </c>
      <c r="O12" s="2">
        <v>0</v>
      </c>
      <c r="P12" s="2">
        <v>0</v>
      </c>
      <c r="Q12" s="2">
        <v>0</v>
      </c>
      <c r="R12" s="2">
        <v>0</v>
      </c>
      <c r="S12" s="2">
        <v>0</v>
      </c>
      <c r="T12" s="79">
        <v>0</v>
      </c>
      <c r="U12" s="2">
        <v>0</v>
      </c>
      <c r="V12" s="25">
        <v>0</v>
      </c>
      <c r="W12" s="2">
        <v>0</v>
      </c>
      <c r="X12" s="2">
        <v>0</v>
      </c>
      <c r="Y12" s="2">
        <v>0</v>
      </c>
      <c r="Z12" s="2">
        <v>0</v>
      </c>
      <c r="AA12" s="73"/>
    </row>
    <row r="13" spans="1:29" x14ac:dyDescent="0.25">
      <c r="B13" s="2" t="s">
        <v>28</v>
      </c>
      <c r="C13" s="2"/>
      <c r="D13" s="4"/>
      <c r="E13" s="2"/>
      <c r="F13" s="2"/>
      <c r="G13" s="2"/>
      <c r="H13" s="4">
        <v>0</v>
      </c>
      <c r="I13" s="2">
        <v>0</v>
      </c>
      <c r="J13" s="2">
        <v>0</v>
      </c>
      <c r="K13" s="2">
        <v>0</v>
      </c>
      <c r="L13" s="2">
        <v>0</v>
      </c>
      <c r="M13" s="2">
        <v>0</v>
      </c>
      <c r="N13" s="2">
        <v>0</v>
      </c>
      <c r="O13" s="2">
        <v>0</v>
      </c>
      <c r="P13" s="2">
        <v>0</v>
      </c>
      <c r="Q13" s="2">
        <v>0</v>
      </c>
      <c r="R13" s="2">
        <v>0</v>
      </c>
      <c r="S13" s="2">
        <v>0</v>
      </c>
      <c r="T13" s="79">
        <v>0</v>
      </c>
      <c r="U13" s="2">
        <v>0</v>
      </c>
      <c r="V13" s="25">
        <v>0</v>
      </c>
      <c r="W13" s="2">
        <v>0</v>
      </c>
      <c r="X13" s="2">
        <v>0</v>
      </c>
      <c r="Y13" s="2">
        <v>0</v>
      </c>
      <c r="Z13" s="2">
        <v>0</v>
      </c>
      <c r="AA13" s="73"/>
    </row>
    <row r="14" spans="1:29" x14ac:dyDescent="0.25">
      <c r="B14" s="2" t="s">
        <v>28</v>
      </c>
      <c r="C14" s="2"/>
      <c r="D14" s="4"/>
      <c r="E14" s="2"/>
      <c r="F14" s="2"/>
      <c r="G14" s="2"/>
      <c r="H14" s="4">
        <v>0</v>
      </c>
      <c r="I14" s="2">
        <v>0</v>
      </c>
      <c r="J14" s="2">
        <v>0</v>
      </c>
      <c r="K14" s="2">
        <v>0</v>
      </c>
      <c r="L14" s="2">
        <v>0</v>
      </c>
      <c r="M14" s="2">
        <v>0</v>
      </c>
      <c r="N14" s="2">
        <v>0</v>
      </c>
      <c r="O14" s="2">
        <v>0</v>
      </c>
      <c r="P14" s="2">
        <v>0</v>
      </c>
      <c r="Q14" s="2">
        <v>0</v>
      </c>
      <c r="R14" s="2">
        <v>0</v>
      </c>
      <c r="S14" s="2">
        <v>0</v>
      </c>
      <c r="T14" s="79">
        <v>0</v>
      </c>
      <c r="U14" s="2">
        <v>0</v>
      </c>
      <c r="V14" s="25">
        <v>0</v>
      </c>
      <c r="W14" s="2">
        <v>0</v>
      </c>
      <c r="X14" s="2">
        <v>0</v>
      </c>
      <c r="Y14" s="2">
        <v>0</v>
      </c>
      <c r="Z14" s="2">
        <v>0</v>
      </c>
      <c r="AA14" s="73"/>
    </row>
    <row r="15" spans="1:29" x14ac:dyDescent="0.25">
      <c r="B15" s="2" t="s">
        <v>28</v>
      </c>
      <c r="C15" s="2"/>
      <c r="D15" s="4"/>
      <c r="E15" s="2"/>
      <c r="F15" s="2"/>
      <c r="G15" s="2"/>
      <c r="H15" s="4">
        <v>0</v>
      </c>
      <c r="I15" s="2">
        <v>0</v>
      </c>
      <c r="J15" s="2">
        <v>0</v>
      </c>
      <c r="K15" s="2">
        <v>0</v>
      </c>
      <c r="L15" s="2">
        <v>0</v>
      </c>
      <c r="M15" s="2">
        <v>0</v>
      </c>
      <c r="N15" s="2">
        <v>0</v>
      </c>
      <c r="O15" s="2">
        <v>0</v>
      </c>
      <c r="P15" s="2">
        <v>0</v>
      </c>
      <c r="Q15" s="2">
        <v>0</v>
      </c>
      <c r="R15" s="2">
        <v>0</v>
      </c>
      <c r="S15" s="2">
        <v>0</v>
      </c>
      <c r="T15" s="79">
        <v>0</v>
      </c>
      <c r="U15" s="2">
        <v>0</v>
      </c>
      <c r="V15" s="25">
        <v>0</v>
      </c>
      <c r="W15" s="2">
        <v>0</v>
      </c>
      <c r="X15" s="2">
        <v>0</v>
      </c>
      <c r="Y15" s="2">
        <v>0</v>
      </c>
      <c r="Z15" s="2">
        <v>0</v>
      </c>
      <c r="AA15" s="73"/>
    </row>
    <row r="16" spans="1:29" x14ac:dyDescent="0.25">
      <c r="B16" s="2" t="s">
        <v>28</v>
      </c>
      <c r="C16" s="2"/>
      <c r="D16" s="4"/>
      <c r="E16" s="2"/>
      <c r="F16" s="2"/>
      <c r="G16" s="2"/>
      <c r="H16" s="4">
        <v>0</v>
      </c>
      <c r="I16" s="2">
        <v>0</v>
      </c>
      <c r="J16" s="2">
        <v>0</v>
      </c>
      <c r="K16" s="2">
        <v>0</v>
      </c>
      <c r="L16" s="2">
        <v>0</v>
      </c>
      <c r="M16" s="2">
        <v>0</v>
      </c>
      <c r="N16" s="2">
        <v>0</v>
      </c>
      <c r="O16" s="2">
        <v>0</v>
      </c>
      <c r="P16" s="2">
        <v>0</v>
      </c>
      <c r="Q16" s="2">
        <v>0</v>
      </c>
      <c r="R16" s="2">
        <v>0</v>
      </c>
      <c r="S16" s="2">
        <v>0</v>
      </c>
      <c r="T16" s="79">
        <v>0</v>
      </c>
      <c r="U16" s="2">
        <v>0</v>
      </c>
      <c r="V16" s="25">
        <v>0</v>
      </c>
      <c r="W16" s="2">
        <v>0</v>
      </c>
      <c r="X16" s="2">
        <v>0</v>
      </c>
      <c r="Y16" s="2">
        <v>0</v>
      </c>
      <c r="Z16" s="2">
        <v>0</v>
      </c>
      <c r="AA16" s="73"/>
    </row>
    <row r="17" spans="2:27" x14ac:dyDescent="0.25">
      <c r="B17" s="2" t="s">
        <v>28</v>
      </c>
      <c r="C17" s="2"/>
      <c r="D17" s="4"/>
      <c r="E17" s="2"/>
      <c r="F17" s="2"/>
      <c r="G17" s="2"/>
      <c r="H17" s="4">
        <v>0</v>
      </c>
      <c r="I17" s="2">
        <v>0</v>
      </c>
      <c r="J17" s="2">
        <v>0</v>
      </c>
      <c r="K17" s="2">
        <v>0</v>
      </c>
      <c r="L17" s="2">
        <v>0</v>
      </c>
      <c r="M17" s="2">
        <v>0</v>
      </c>
      <c r="N17" s="2">
        <v>0</v>
      </c>
      <c r="O17" s="2">
        <v>0</v>
      </c>
      <c r="P17" s="2">
        <v>0</v>
      </c>
      <c r="Q17" s="2">
        <v>0</v>
      </c>
      <c r="R17" s="2">
        <v>0</v>
      </c>
      <c r="S17" s="2">
        <v>0</v>
      </c>
      <c r="T17" s="79">
        <v>0</v>
      </c>
      <c r="U17" s="2">
        <v>0</v>
      </c>
      <c r="V17" s="25">
        <v>0</v>
      </c>
      <c r="W17" s="2">
        <v>0</v>
      </c>
      <c r="X17" s="2">
        <v>0</v>
      </c>
      <c r="Y17" s="2">
        <v>0</v>
      </c>
      <c r="Z17" s="2">
        <v>0</v>
      </c>
      <c r="AA17" s="73"/>
    </row>
    <row r="18" spans="2:27" x14ac:dyDescent="0.25">
      <c r="B18" s="2" t="s">
        <v>28</v>
      </c>
      <c r="C18" s="2"/>
      <c r="D18" s="4"/>
      <c r="E18" s="2"/>
      <c r="F18" s="2"/>
      <c r="G18" s="2"/>
      <c r="H18" s="4">
        <v>0</v>
      </c>
      <c r="I18" s="2">
        <v>0</v>
      </c>
      <c r="J18" s="2">
        <v>0</v>
      </c>
      <c r="K18" s="2">
        <v>0</v>
      </c>
      <c r="L18" s="2">
        <v>0</v>
      </c>
      <c r="M18" s="2">
        <v>0</v>
      </c>
      <c r="N18" s="2">
        <v>0</v>
      </c>
      <c r="O18" s="2">
        <v>0</v>
      </c>
      <c r="P18" s="2">
        <v>0</v>
      </c>
      <c r="Q18" s="2">
        <v>0</v>
      </c>
      <c r="R18" s="2">
        <v>0</v>
      </c>
      <c r="S18" s="2">
        <v>0</v>
      </c>
      <c r="T18" s="79">
        <v>0</v>
      </c>
      <c r="U18" s="2">
        <v>0</v>
      </c>
      <c r="V18" s="25">
        <v>0</v>
      </c>
      <c r="W18" s="2">
        <v>0</v>
      </c>
      <c r="X18" s="2">
        <v>0</v>
      </c>
      <c r="Y18" s="2">
        <v>0</v>
      </c>
      <c r="Z18" s="2">
        <v>0</v>
      </c>
      <c r="AA18" s="73"/>
    </row>
    <row r="19" spans="2:27" x14ac:dyDescent="0.25">
      <c r="B19" s="2" t="s">
        <v>28</v>
      </c>
      <c r="C19" s="2"/>
      <c r="D19" s="4"/>
      <c r="E19" s="2"/>
      <c r="F19" s="2"/>
      <c r="G19" s="2"/>
      <c r="H19" s="4">
        <v>0</v>
      </c>
      <c r="I19" s="2">
        <v>0</v>
      </c>
      <c r="J19" s="2">
        <v>0</v>
      </c>
      <c r="K19" s="2">
        <v>0</v>
      </c>
      <c r="L19" s="2">
        <v>0</v>
      </c>
      <c r="M19" s="2">
        <v>0</v>
      </c>
      <c r="N19" s="2">
        <v>0</v>
      </c>
      <c r="O19" s="2">
        <v>0</v>
      </c>
      <c r="P19" s="2">
        <v>0</v>
      </c>
      <c r="Q19" s="2">
        <v>0</v>
      </c>
      <c r="R19" s="2">
        <v>0</v>
      </c>
      <c r="S19" s="2">
        <v>0</v>
      </c>
      <c r="T19" s="79">
        <v>0</v>
      </c>
      <c r="U19" s="2">
        <v>0</v>
      </c>
      <c r="V19" s="25">
        <v>0</v>
      </c>
      <c r="W19" s="2">
        <v>0</v>
      </c>
      <c r="X19" s="2">
        <v>0</v>
      </c>
      <c r="Y19" s="2">
        <v>0</v>
      </c>
      <c r="Z19" s="2">
        <v>0</v>
      </c>
      <c r="AA19" s="73"/>
    </row>
    <row r="20" spans="2:27" x14ac:dyDescent="0.25">
      <c r="B20" s="2" t="s">
        <v>28</v>
      </c>
      <c r="C20" s="2"/>
      <c r="D20" s="4"/>
      <c r="E20" s="2"/>
      <c r="F20" s="2"/>
      <c r="G20" s="2"/>
      <c r="H20" s="4">
        <v>0</v>
      </c>
      <c r="I20" s="2">
        <v>0</v>
      </c>
      <c r="J20" s="2">
        <v>0</v>
      </c>
      <c r="K20" s="2">
        <v>0</v>
      </c>
      <c r="L20" s="2">
        <v>0</v>
      </c>
      <c r="M20" s="2">
        <v>0</v>
      </c>
      <c r="N20" s="2">
        <v>0</v>
      </c>
      <c r="O20" s="2">
        <v>0</v>
      </c>
      <c r="P20" s="2">
        <v>0</v>
      </c>
      <c r="Q20" s="2">
        <v>0</v>
      </c>
      <c r="R20" s="2">
        <v>0</v>
      </c>
      <c r="S20" s="2">
        <v>0</v>
      </c>
      <c r="T20" s="79">
        <v>0</v>
      </c>
      <c r="U20" s="2">
        <v>0</v>
      </c>
      <c r="V20" s="25">
        <v>0</v>
      </c>
      <c r="W20" s="2">
        <v>0</v>
      </c>
      <c r="X20" s="2">
        <v>0</v>
      </c>
      <c r="Y20" s="2">
        <v>0</v>
      </c>
      <c r="Z20" s="2">
        <v>0</v>
      </c>
      <c r="AA20" s="73"/>
    </row>
    <row r="21" spans="2:27" x14ac:dyDescent="0.25">
      <c r="B21" s="2" t="s">
        <v>28</v>
      </c>
      <c r="C21" s="2"/>
      <c r="D21" s="4"/>
      <c r="E21" s="2"/>
      <c r="F21" s="2"/>
      <c r="G21" s="2"/>
      <c r="H21" s="4">
        <v>0</v>
      </c>
      <c r="I21" s="2">
        <v>0</v>
      </c>
      <c r="J21" s="2">
        <v>0</v>
      </c>
      <c r="K21" s="2">
        <v>0</v>
      </c>
      <c r="L21" s="2">
        <v>0</v>
      </c>
      <c r="M21" s="2">
        <v>0</v>
      </c>
      <c r="N21" s="2">
        <v>0</v>
      </c>
      <c r="O21" s="2">
        <v>0</v>
      </c>
      <c r="P21" s="2">
        <v>0</v>
      </c>
      <c r="Q21" s="2">
        <v>0</v>
      </c>
      <c r="R21" s="2">
        <v>0</v>
      </c>
      <c r="S21" s="2">
        <v>0</v>
      </c>
      <c r="T21" s="79">
        <v>0</v>
      </c>
      <c r="U21" s="2">
        <v>0</v>
      </c>
      <c r="V21" s="25">
        <v>0</v>
      </c>
      <c r="W21" s="2">
        <v>0</v>
      </c>
      <c r="X21" s="2">
        <v>0</v>
      </c>
      <c r="Y21" s="2">
        <v>0</v>
      </c>
      <c r="Z21" s="2">
        <v>0</v>
      </c>
      <c r="AA21" s="73"/>
    </row>
    <row r="22" spans="2:27" x14ac:dyDescent="0.25">
      <c r="B22" s="79"/>
      <c r="C22" s="79"/>
      <c r="D22" s="4"/>
      <c r="E22" s="79"/>
      <c r="F22" s="79"/>
      <c r="G22" s="79"/>
      <c r="H22" s="4">
        <f>SUMIF(Table1218[Enabled],"Yes",Table1218[DMG])</f>
        <v>0</v>
      </c>
      <c r="I22" s="79">
        <f>SUMIF(Table1218[Enabled],"Yes",Table1218[Stamina])</f>
        <v>0</v>
      </c>
      <c r="J22" s="79">
        <f>SUMIF(Table1218[Enabled],"Yes",Table1218[Crit])</f>
        <v>0</v>
      </c>
      <c r="K22" s="79">
        <f>SUMIF(Table1218[Enabled],"Yes",Table1218[Crit DMG])</f>
        <v>0</v>
      </c>
      <c r="L22" s="79">
        <f>SUMIF(Table1218[Enabled],"Yes",Table1218[Splash])</f>
        <v>0</v>
      </c>
      <c r="M22" s="79">
        <f>SUMIF(Table1218[Enabled],"Yes",Table1218[Splash 
DMG])</f>
        <v>0</v>
      </c>
      <c r="N22" s="79">
        <f>SUMIF(Table1218[Enabled],"Yes",Table1218[Exprt.])</f>
        <v>0</v>
      </c>
      <c r="O22" s="79">
        <f>SUMIF(Table1218[Enabled],"Yes",Table1218[Mvmt.])</f>
        <v>0</v>
      </c>
      <c r="P22" s="79">
        <f>SUMIF(Table1218[Enabled],"Yes",Table1218[Extra 
Attack])</f>
        <v>0</v>
      </c>
      <c r="Q22" s="79">
        <f>SUMIF(Table1218[Enabled],"Yes",Table1218[Armor])</f>
        <v>2</v>
      </c>
      <c r="R22" s="79">
        <f>SUMIF(Table1218[Enabled],"Yes",Table1218[Aura])</f>
        <v>5</v>
      </c>
      <c r="S22" s="79">
        <f>SUMIF(Table1218[Enabled],"Yes",Table1218[Directed Strike])</f>
        <v>0</v>
      </c>
      <c r="T22" s="79">
        <f>SUMIF(Table1218[Enabled],"Yes",Table1218[AP])</f>
        <v>1</v>
      </c>
      <c r="U22" s="79">
        <f>SUMIF(Table1218[Enabled],"Yes",Table1218[INI2])</f>
        <v>0</v>
      </c>
      <c r="V22" s="25">
        <f>SUMIF(Table1218[Enabled],"Yes",Table1218[STR])</f>
        <v>0</v>
      </c>
      <c r="W22" s="79">
        <f>SUMIF(Table1218[Enabled],"Yes",Table1218[AGI])</f>
        <v>0</v>
      </c>
      <c r="X22" s="79">
        <f>SUMIF(Table1218[Enabled],"Yes",Table1218[INU])</f>
        <v>15</v>
      </c>
      <c r="Y22" s="79">
        <f>SUMIF(Table1218[Enabled],"Yes",Table1218[CHA])</f>
        <v>0</v>
      </c>
      <c r="Z22" s="79">
        <f>SUMIF(Table1218[Enabled],"Yes",Table1218[PER])</f>
        <v>0</v>
      </c>
      <c r="AA22" s="79"/>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85"/>
  <sheetViews>
    <sheetView workbookViewId="0">
      <selection activeCell="A39" sqref="A39:G80"/>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21</v>
      </c>
      <c r="B1" t="s">
        <v>163</v>
      </c>
      <c r="C1" t="s">
        <v>101</v>
      </c>
      <c r="D1" t="s">
        <v>57</v>
      </c>
      <c r="E1" t="s">
        <v>152</v>
      </c>
      <c r="F1" t="s">
        <v>51</v>
      </c>
      <c r="G1" t="s">
        <v>136</v>
      </c>
    </row>
    <row r="2" spans="1:7" ht="34" hidden="1" x14ac:dyDescent="0.2">
      <c r="A2" s="77" t="s">
        <v>218</v>
      </c>
      <c r="B2" s="77" t="s">
        <v>219</v>
      </c>
      <c r="C2" s="78">
        <v>1</v>
      </c>
      <c r="D2" s="78">
        <v>1</v>
      </c>
      <c r="E2" s="78" t="s">
        <v>28</v>
      </c>
      <c r="F2" s="78">
        <v>2</v>
      </c>
      <c r="G2" s="76" t="s">
        <v>222</v>
      </c>
    </row>
    <row r="3" spans="1:7" ht="17" hidden="1" x14ac:dyDescent="0.2">
      <c r="A3" s="77" t="s">
        <v>220</v>
      </c>
      <c r="B3" s="77" t="s">
        <v>219</v>
      </c>
      <c r="C3" s="78">
        <v>1</v>
      </c>
      <c r="D3" s="78">
        <v>1</v>
      </c>
      <c r="E3" s="78" t="s">
        <v>28</v>
      </c>
      <c r="F3" s="78">
        <v>2</v>
      </c>
      <c r="G3" s="76" t="s">
        <v>221</v>
      </c>
    </row>
    <row r="4" spans="1:7" ht="34" hidden="1" x14ac:dyDescent="0.2">
      <c r="A4" s="77" t="s">
        <v>224</v>
      </c>
      <c r="B4" s="77" t="s">
        <v>219</v>
      </c>
      <c r="C4" s="78">
        <v>1</v>
      </c>
      <c r="D4" s="78">
        <v>1</v>
      </c>
      <c r="E4" s="78" t="s">
        <v>28</v>
      </c>
      <c r="F4" s="78">
        <v>0</v>
      </c>
      <c r="G4" s="76" t="s">
        <v>225</v>
      </c>
    </row>
    <row r="5" spans="1:7" ht="17" hidden="1" x14ac:dyDescent="0.2">
      <c r="A5" s="77" t="s">
        <v>224</v>
      </c>
      <c r="B5" s="77" t="s">
        <v>219</v>
      </c>
      <c r="C5" s="78">
        <v>2</v>
      </c>
      <c r="D5" s="78">
        <v>2</v>
      </c>
      <c r="E5" s="78" t="s">
        <v>28</v>
      </c>
      <c r="F5" s="78">
        <v>3</v>
      </c>
      <c r="G5" s="76" t="s">
        <v>320</v>
      </c>
    </row>
    <row r="6" spans="1:7" ht="17" hidden="1" x14ac:dyDescent="0.2">
      <c r="A6" s="77" t="s">
        <v>224</v>
      </c>
      <c r="B6" s="77" t="s">
        <v>219</v>
      </c>
      <c r="C6" s="78">
        <v>3</v>
      </c>
      <c r="D6" s="78">
        <v>3</v>
      </c>
      <c r="E6" s="78" t="s">
        <v>28</v>
      </c>
      <c r="F6" s="78">
        <v>4</v>
      </c>
      <c r="G6" s="76" t="s">
        <v>321</v>
      </c>
    </row>
    <row r="7" spans="1:7" ht="17" hidden="1" x14ac:dyDescent="0.2">
      <c r="A7" s="77" t="s">
        <v>224</v>
      </c>
      <c r="B7" s="77" t="s">
        <v>219</v>
      </c>
      <c r="C7" s="78">
        <v>4</v>
      </c>
      <c r="D7" s="78">
        <v>5</v>
      </c>
      <c r="E7" s="78" t="s">
        <v>28</v>
      </c>
      <c r="F7" s="78">
        <v>5</v>
      </c>
      <c r="G7" s="76" t="s">
        <v>322</v>
      </c>
    </row>
    <row r="8" spans="1:7" ht="17" hidden="1" x14ac:dyDescent="0.2">
      <c r="A8" s="77" t="s">
        <v>226</v>
      </c>
      <c r="B8" s="77" t="s">
        <v>219</v>
      </c>
      <c r="C8" s="78">
        <v>1</v>
      </c>
      <c r="D8" s="78">
        <v>1</v>
      </c>
      <c r="E8" s="78" t="s">
        <v>28</v>
      </c>
      <c r="F8" s="78">
        <v>0</v>
      </c>
      <c r="G8" s="76" t="s">
        <v>227</v>
      </c>
    </row>
    <row r="9" spans="1:7" ht="17" hidden="1" x14ac:dyDescent="0.2">
      <c r="A9" s="77" t="s">
        <v>226</v>
      </c>
      <c r="B9" s="77" t="s">
        <v>219</v>
      </c>
      <c r="C9" s="78">
        <v>2</v>
      </c>
      <c r="D9" s="78">
        <v>3</v>
      </c>
      <c r="E9" s="78" t="s">
        <v>28</v>
      </c>
      <c r="F9" s="78">
        <v>3</v>
      </c>
      <c r="G9" s="76" t="s">
        <v>228</v>
      </c>
    </row>
    <row r="10" spans="1:7" ht="17" hidden="1" x14ac:dyDescent="0.2">
      <c r="A10" s="77" t="s">
        <v>226</v>
      </c>
      <c r="B10" s="77" t="s">
        <v>219</v>
      </c>
      <c r="C10" s="78">
        <v>3</v>
      </c>
      <c r="D10" s="78">
        <v>5</v>
      </c>
      <c r="E10" s="78" t="s">
        <v>28</v>
      </c>
      <c r="F10" s="78">
        <v>4</v>
      </c>
      <c r="G10" s="76" t="s">
        <v>229</v>
      </c>
    </row>
    <row r="11" spans="1:7" ht="17" hidden="1" x14ac:dyDescent="0.2">
      <c r="A11" s="77" t="s">
        <v>226</v>
      </c>
      <c r="B11" s="77" t="s">
        <v>219</v>
      </c>
      <c r="C11" s="78">
        <v>4</v>
      </c>
      <c r="D11" s="78">
        <v>7</v>
      </c>
      <c r="E11" s="78" t="s">
        <v>28</v>
      </c>
      <c r="F11" s="78">
        <v>5</v>
      </c>
      <c r="G11" s="76" t="s">
        <v>230</v>
      </c>
    </row>
    <row r="12" spans="1:7" ht="17" hidden="1" x14ac:dyDescent="0.2">
      <c r="A12" s="77" t="s">
        <v>226</v>
      </c>
      <c r="B12" s="77" t="s">
        <v>219</v>
      </c>
      <c r="C12" s="78">
        <v>5</v>
      </c>
      <c r="D12" s="78">
        <v>9</v>
      </c>
      <c r="E12" s="78" t="s">
        <v>28</v>
      </c>
      <c r="F12" s="78">
        <v>6</v>
      </c>
      <c r="G12" s="76" t="s">
        <v>231</v>
      </c>
    </row>
    <row r="13" spans="1:7" ht="17" hidden="1" x14ac:dyDescent="0.2">
      <c r="A13" s="77" t="s">
        <v>232</v>
      </c>
      <c r="B13" s="77" t="s">
        <v>219</v>
      </c>
      <c r="C13" s="78">
        <v>1</v>
      </c>
      <c r="D13" s="78">
        <v>1</v>
      </c>
      <c r="E13" s="78" t="s">
        <v>28</v>
      </c>
      <c r="F13" s="78">
        <v>2</v>
      </c>
      <c r="G13" s="76" t="s">
        <v>233</v>
      </c>
    </row>
    <row r="14" spans="1:7" ht="17" hidden="1" x14ac:dyDescent="0.2">
      <c r="A14" s="77" t="s">
        <v>232</v>
      </c>
      <c r="B14" s="77" t="s">
        <v>219</v>
      </c>
      <c r="C14" s="78">
        <v>2</v>
      </c>
      <c r="D14" s="78">
        <v>3</v>
      </c>
      <c r="E14" s="78" t="s">
        <v>28</v>
      </c>
      <c r="F14" s="78">
        <v>3</v>
      </c>
      <c r="G14" s="76" t="s">
        <v>234</v>
      </c>
    </row>
    <row r="15" spans="1:7" ht="17" hidden="1" x14ac:dyDescent="0.2">
      <c r="A15" s="77" t="s">
        <v>232</v>
      </c>
      <c r="B15" s="77" t="s">
        <v>219</v>
      </c>
      <c r="C15" s="78">
        <v>3</v>
      </c>
      <c r="D15" s="78">
        <v>4</v>
      </c>
      <c r="E15" s="78" t="s">
        <v>28</v>
      </c>
      <c r="F15" s="78">
        <v>4</v>
      </c>
      <c r="G15" s="76" t="s">
        <v>235</v>
      </c>
    </row>
    <row r="16" spans="1:7" ht="17" hidden="1" x14ac:dyDescent="0.2">
      <c r="A16" s="77" t="s">
        <v>232</v>
      </c>
      <c r="B16" s="77" t="s">
        <v>219</v>
      </c>
      <c r="C16" s="78">
        <v>4</v>
      </c>
      <c r="D16" s="78">
        <v>5</v>
      </c>
      <c r="E16" s="78" t="s">
        <v>28</v>
      </c>
      <c r="F16" s="78">
        <v>5</v>
      </c>
      <c r="G16" s="76" t="s">
        <v>236</v>
      </c>
    </row>
    <row r="17" spans="1:7" ht="17" hidden="1" x14ac:dyDescent="0.2">
      <c r="A17" s="77" t="s">
        <v>232</v>
      </c>
      <c r="B17" s="77" t="s">
        <v>219</v>
      </c>
      <c r="C17" s="78">
        <v>5</v>
      </c>
      <c r="D17" s="78">
        <v>8</v>
      </c>
      <c r="E17" s="78" t="s">
        <v>28</v>
      </c>
      <c r="F17" s="78">
        <v>6</v>
      </c>
      <c r="G17" s="76" t="s">
        <v>237</v>
      </c>
    </row>
    <row r="18" spans="1:7" ht="17" hidden="1" x14ac:dyDescent="0.2">
      <c r="A18" s="77" t="s">
        <v>238</v>
      </c>
      <c r="B18" s="77" t="s">
        <v>219</v>
      </c>
      <c r="C18" s="78">
        <v>1</v>
      </c>
      <c r="D18" s="78">
        <v>1</v>
      </c>
      <c r="E18" s="78" t="s">
        <v>28</v>
      </c>
      <c r="F18" s="78">
        <v>0</v>
      </c>
      <c r="G18" s="76" t="s">
        <v>239</v>
      </c>
    </row>
    <row r="19" spans="1:7" ht="17" hidden="1" x14ac:dyDescent="0.2">
      <c r="A19" s="77" t="s">
        <v>240</v>
      </c>
      <c r="B19" s="77" t="s">
        <v>219</v>
      </c>
      <c r="C19" s="78">
        <v>1</v>
      </c>
      <c r="D19" s="78">
        <v>1</v>
      </c>
      <c r="E19" s="78" t="s">
        <v>28</v>
      </c>
      <c r="F19" s="78">
        <v>0</v>
      </c>
      <c r="G19" s="76" t="s">
        <v>241</v>
      </c>
    </row>
    <row r="20" spans="1:7" ht="17" hidden="1" x14ac:dyDescent="0.2">
      <c r="A20" s="77" t="s">
        <v>240</v>
      </c>
      <c r="B20" s="77" t="s">
        <v>219</v>
      </c>
      <c r="C20" s="78">
        <v>2</v>
      </c>
      <c r="D20" s="78">
        <v>3</v>
      </c>
      <c r="E20" s="78" t="s">
        <v>28</v>
      </c>
      <c r="F20" s="78">
        <v>3</v>
      </c>
      <c r="G20" s="76" t="s">
        <v>242</v>
      </c>
    </row>
    <row r="21" spans="1:7" ht="17" hidden="1" x14ac:dyDescent="0.2">
      <c r="A21" s="77" t="s">
        <v>240</v>
      </c>
      <c r="B21" s="77" t="s">
        <v>219</v>
      </c>
      <c r="C21" s="78">
        <v>3</v>
      </c>
      <c r="D21" s="78">
        <v>4</v>
      </c>
      <c r="E21" s="78" t="s">
        <v>28</v>
      </c>
      <c r="F21" s="78">
        <v>4</v>
      </c>
      <c r="G21" s="76" t="s">
        <v>243</v>
      </c>
    </row>
    <row r="22" spans="1:7" ht="17" hidden="1" x14ac:dyDescent="0.2">
      <c r="A22" s="77" t="s">
        <v>240</v>
      </c>
      <c r="B22" s="77" t="s">
        <v>219</v>
      </c>
      <c r="C22" s="78">
        <v>4</v>
      </c>
      <c r="D22" s="78">
        <v>7</v>
      </c>
      <c r="E22" s="78" t="s">
        <v>28</v>
      </c>
      <c r="F22" s="78">
        <v>5</v>
      </c>
      <c r="G22" s="76" t="s">
        <v>244</v>
      </c>
    </row>
    <row r="23" spans="1:7" ht="17" hidden="1" x14ac:dyDescent="0.2">
      <c r="A23" s="77" t="s">
        <v>240</v>
      </c>
      <c r="B23" s="77" t="s">
        <v>219</v>
      </c>
      <c r="C23" s="78">
        <v>5</v>
      </c>
      <c r="D23" s="78">
        <v>9</v>
      </c>
      <c r="E23" s="78" t="s">
        <v>28</v>
      </c>
      <c r="F23" s="78">
        <v>6</v>
      </c>
      <c r="G23" s="76" t="s">
        <v>245</v>
      </c>
    </row>
    <row r="24" spans="1:7" ht="17" hidden="1" x14ac:dyDescent="0.2">
      <c r="A24" s="77" t="s">
        <v>246</v>
      </c>
      <c r="B24" s="77" t="s">
        <v>219</v>
      </c>
      <c r="C24" s="78">
        <v>1</v>
      </c>
      <c r="D24" s="78">
        <v>1</v>
      </c>
      <c r="E24" s="78" t="s">
        <v>28</v>
      </c>
      <c r="F24" s="78">
        <v>2</v>
      </c>
      <c r="G24" s="76" t="s">
        <v>323</v>
      </c>
    </row>
    <row r="25" spans="1:7" ht="17" hidden="1" x14ac:dyDescent="0.2">
      <c r="A25" s="77" t="s">
        <v>246</v>
      </c>
      <c r="B25" s="77" t="s">
        <v>219</v>
      </c>
      <c r="C25" s="78">
        <v>2</v>
      </c>
      <c r="D25" s="78">
        <v>5</v>
      </c>
      <c r="E25" s="78" t="s">
        <v>28</v>
      </c>
      <c r="F25" s="78">
        <v>3</v>
      </c>
      <c r="G25" s="76" t="s">
        <v>324</v>
      </c>
    </row>
    <row r="26" spans="1:7" ht="17" hidden="1" x14ac:dyDescent="0.2">
      <c r="A26" s="77" t="s">
        <v>246</v>
      </c>
      <c r="B26" s="77" t="s">
        <v>219</v>
      </c>
      <c r="C26" s="78">
        <v>3</v>
      </c>
      <c r="D26" s="78">
        <v>10</v>
      </c>
      <c r="E26" s="78" t="s">
        <v>28</v>
      </c>
      <c r="F26" s="78">
        <v>4</v>
      </c>
      <c r="G26" s="76" t="s">
        <v>325</v>
      </c>
    </row>
    <row r="27" spans="1:7" ht="17" hidden="1" x14ac:dyDescent="0.2">
      <c r="A27" s="77" t="s">
        <v>247</v>
      </c>
      <c r="B27" s="77" t="s">
        <v>219</v>
      </c>
      <c r="C27" s="78">
        <v>1</v>
      </c>
      <c r="D27" s="78">
        <v>1</v>
      </c>
      <c r="E27" s="78" t="s">
        <v>28</v>
      </c>
      <c r="F27" s="78">
        <v>0</v>
      </c>
      <c r="G27" s="76" t="s">
        <v>248</v>
      </c>
    </row>
    <row r="28" spans="1:7" ht="17" hidden="1" x14ac:dyDescent="0.2">
      <c r="A28" s="77" t="s">
        <v>247</v>
      </c>
      <c r="B28" s="77" t="s">
        <v>219</v>
      </c>
      <c r="C28" s="78">
        <v>2</v>
      </c>
      <c r="D28" s="78">
        <v>3</v>
      </c>
      <c r="E28" s="78" t="s">
        <v>28</v>
      </c>
      <c r="F28" s="78">
        <v>3</v>
      </c>
      <c r="G28" s="76" t="s">
        <v>249</v>
      </c>
    </row>
    <row r="29" spans="1:7" ht="17" hidden="1" x14ac:dyDescent="0.2">
      <c r="A29" s="77" t="s">
        <v>247</v>
      </c>
      <c r="B29" s="77" t="s">
        <v>219</v>
      </c>
      <c r="C29" s="78">
        <v>3</v>
      </c>
      <c r="D29" s="78">
        <v>5</v>
      </c>
      <c r="E29" s="78" t="s">
        <v>28</v>
      </c>
      <c r="F29" s="78">
        <v>4</v>
      </c>
      <c r="G29" s="76" t="s">
        <v>250</v>
      </c>
    </row>
    <row r="30" spans="1:7" ht="17" hidden="1" x14ac:dyDescent="0.2">
      <c r="A30" s="77" t="s">
        <v>247</v>
      </c>
      <c r="B30" s="77" t="s">
        <v>219</v>
      </c>
      <c r="C30" s="78">
        <v>4</v>
      </c>
      <c r="D30" s="78">
        <v>8</v>
      </c>
      <c r="E30" s="78" t="s">
        <v>28</v>
      </c>
      <c r="F30" s="78">
        <v>5</v>
      </c>
      <c r="G30" s="76" t="s">
        <v>251</v>
      </c>
    </row>
    <row r="31" spans="1:7" ht="17" hidden="1" x14ac:dyDescent="0.2">
      <c r="A31" s="77" t="s">
        <v>252</v>
      </c>
      <c r="B31" s="77" t="s">
        <v>219</v>
      </c>
      <c r="C31" s="78">
        <v>1</v>
      </c>
      <c r="D31" s="78">
        <v>1</v>
      </c>
      <c r="E31" s="78" t="s">
        <v>28</v>
      </c>
      <c r="F31" s="78">
        <v>2</v>
      </c>
      <c r="G31" s="76" t="s">
        <v>253</v>
      </c>
    </row>
    <row r="32" spans="1:7" ht="17" hidden="1" x14ac:dyDescent="0.2">
      <c r="A32" s="77" t="s">
        <v>254</v>
      </c>
      <c r="B32" s="77" t="s">
        <v>219</v>
      </c>
      <c r="C32" s="78">
        <v>1</v>
      </c>
      <c r="D32" s="78">
        <v>3</v>
      </c>
      <c r="E32" s="78" t="s">
        <v>28</v>
      </c>
      <c r="F32" s="78">
        <v>3</v>
      </c>
      <c r="G32" s="76" t="s">
        <v>255</v>
      </c>
    </row>
    <row r="33" spans="1:7" ht="17" hidden="1" x14ac:dyDescent="0.2">
      <c r="A33" s="77" t="s">
        <v>256</v>
      </c>
      <c r="B33" s="77" t="s">
        <v>219</v>
      </c>
      <c r="C33" s="78">
        <v>1</v>
      </c>
      <c r="D33" s="78">
        <v>1</v>
      </c>
      <c r="E33" s="78" t="s">
        <v>28</v>
      </c>
      <c r="F33" s="78">
        <v>3</v>
      </c>
      <c r="G33" s="76" t="s">
        <v>257</v>
      </c>
    </row>
    <row r="34" spans="1:7" ht="17" hidden="1" x14ac:dyDescent="0.2">
      <c r="A34" s="77" t="s">
        <v>258</v>
      </c>
      <c r="B34" s="77" t="s">
        <v>219</v>
      </c>
      <c r="C34" s="78">
        <v>1</v>
      </c>
      <c r="D34" s="78">
        <v>1</v>
      </c>
      <c r="E34" s="78" t="s">
        <v>28</v>
      </c>
      <c r="F34" s="78">
        <v>2</v>
      </c>
      <c r="G34" s="76" t="s">
        <v>259</v>
      </c>
    </row>
    <row r="35" spans="1:7" ht="17" hidden="1" x14ac:dyDescent="0.2">
      <c r="A35" s="77" t="s">
        <v>258</v>
      </c>
      <c r="B35" s="77" t="s">
        <v>219</v>
      </c>
      <c r="C35" s="78">
        <v>2</v>
      </c>
      <c r="D35" s="78">
        <v>3</v>
      </c>
      <c r="E35" s="78" t="s">
        <v>28</v>
      </c>
      <c r="F35" s="78">
        <v>3</v>
      </c>
      <c r="G35" s="76" t="s">
        <v>260</v>
      </c>
    </row>
    <row r="36" spans="1:7" ht="17" hidden="1" x14ac:dyDescent="0.2">
      <c r="A36" s="77" t="s">
        <v>258</v>
      </c>
      <c r="B36" s="77" t="s">
        <v>219</v>
      </c>
      <c r="C36" s="78">
        <v>3</v>
      </c>
      <c r="D36" s="78">
        <v>5</v>
      </c>
      <c r="E36" s="78" t="s">
        <v>28</v>
      </c>
      <c r="F36" s="78">
        <v>4</v>
      </c>
      <c r="G36" s="76" t="s">
        <v>261</v>
      </c>
    </row>
    <row r="37" spans="1:7" ht="17" hidden="1" x14ac:dyDescent="0.2">
      <c r="A37" s="77" t="s">
        <v>258</v>
      </c>
      <c r="B37" s="77" t="s">
        <v>219</v>
      </c>
      <c r="C37" s="78">
        <v>4</v>
      </c>
      <c r="D37" s="78">
        <v>7</v>
      </c>
      <c r="E37" s="78" t="s">
        <v>28</v>
      </c>
      <c r="F37" s="78">
        <v>5</v>
      </c>
      <c r="G37" s="76" t="s">
        <v>262</v>
      </c>
    </row>
    <row r="38" spans="1:7" ht="17" hidden="1" x14ac:dyDescent="0.2">
      <c r="A38" s="77" t="s">
        <v>258</v>
      </c>
      <c r="B38" s="77" t="s">
        <v>219</v>
      </c>
      <c r="C38" s="78">
        <v>5</v>
      </c>
      <c r="D38" s="78">
        <v>10</v>
      </c>
      <c r="E38" s="78" t="s">
        <v>28</v>
      </c>
      <c r="F38" s="78">
        <v>6</v>
      </c>
      <c r="G38" s="76" t="s">
        <v>263</v>
      </c>
    </row>
    <row r="39" spans="1:7" ht="17" x14ac:dyDescent="0.2">
      <c r="A39" s="77" t="s">
        <v>265</v>
      </c>
      <c r="B39" s="77" t="s">
        <v>266</v>
      </c>
      <c r="C39" s="78">
        <v>1</v>
      </c>
      <c r="D39" s="78">
        <v>1</v>
      </c>
      <c r="E39" s="78" t="s">
        <v>27</v>
      </c>
      <c r="F39" s="78">
        <v>2</v>
      </c>
      <c r="G39" s="76" t="s">
        <v>267</v>
      </c>
    </row>
    <row r="40" spans="1:7" ht="17" x14ac:dyDescent="0.2">
      <c r="A40" s="77" t="s">
        <v>265</v>
      </c>
      <c r="B40" s="77" t="s">
        <v>266</v>
      </c>
      <c r="C40" s="78">
        <v>2</v>
      </c>
      <c r="D40" s="78">
        <v>2</v>
      </c>
      <c r="E40" s="78" t="s">
        <v>27</v>
      </c>
      <c r="F40" s="78">
        <v>3</v>
      </c>
      <c r="G40" s="76" t="s">
        <v>268</v>
      </c>
    </row>
    <row r="41" spans="1:7" ht="17" hidden="1" x14ac:dyDescent="0.2">
      <c r="A41" s="77" t="s">
        <v>265</v>
      </c>
      <c r="B41" s="77" t="s">
        <v>266</v>
      </c>
      <c r="C41" s="78">
        <v>3</v>
      </c>
      <c r="D41" s="78">
        <v>4</v>
      </c>
      <c r="E41" s="78" t="s">
        <v>28</v>
      </c>
      <c r="F41" s="78">
        <v>4</v>
      </c>
      <c r="G41" s="76" t="s">
        <v>269</v>
      </c>
    </row>
    <row r="42" spans="1:7" ht="17" hidden="1" x14ac:dyDescent="0.2">
      <c r="A42" s="77" t="s">
        <v>265</v>
      </c>
      <c r="B42" s="77" t="s">
        <v>266</v>
      </c>
      <c r="C42" s="78">
        <v>4</v>
      </c>
      <c r="D42" s="78">
        <v>7</v>
      </c>
      <c r="E42" s="78" t="s">
        <v>28</v>
      </c>
      <c r="F42" s="78">
        <v>5</v>
      </c>
      <c r="G42" s="76" t="s">
        <v>270</v>
      </c>
    </row>
    <row r="43" spans="1:7" ht="17" hidden="1" x14ac:dyDescent="0.2">
      <c r="A43" s="77" t="s">
        <v>265</v>
      </c>
      <c r="B43" s="77" t="s">
        <v>266</v>
      </c>
      <c r="C43" s="78">
        <v>5</v>
      </c>
      <c r="D43" s="78">
        <v>10</v>
      </c>
      <c r="E43" s="78" t="s">
        <v>28</v>
      </c>
      <c r="F43" s="78">
        <v>6</v>
      </c>
      <c r="G43" s="76" t="s">
        <v>271</v>
      </c>
    </row>
    <row r="44" spans="1:7" ht="17" x14ac:dyDescent="0.2">
      <c r="A44" s="77" t="s">
        <v>272</v>
      </c>
      <c r="B44" s="77" t="s">
        <v>266</v>
      </c>
      <c r="C44" s="78">
        <v>1</v>
      </c>
      <c r="D44" s="78">
        <v>1</v>
      </c>
      <c r="E44" s="78" t="s">
        <v>27</v>
      </c>
      <c r="F44" s="78">
        <v>0</v>
      </c>
      <c r="G44" s="76" t="s">
        <v>273</v>
      </c>
    </row>
    <row r="45" spans="1:7" ht="17" x14ac:dyDescent="0.2">
      <c r="A45" s="77" t="s">
        <v>272</v>
      </c>
      <c r="B45" s="77" t="s">
        <v>266</v>
      </c>
      <c r="C45" s="78">
        <v>2</v>
      </c>
      <c r="D45" s="78">
        <v>3</v>
      </c>
      <c r="E45" s="78" t="s">
        <v>27</v>
      </c>
      <c r="F45" s="78">
        <v>3</v>
      </c>
      <c r="G45" s="76" t="s">
        <v>274</v>
      </c>
    </row>
    <row r="46" spans="1:7" ht="17" hidden="1" x14ac:dyDescent="0.2">
      <c r="A46" s="77" t="s">
        <v>272</v>
      </c>
      <c r="B46" s="77" t="s">
        <v>266</v>
      </c>
      <c r="C46" s="78">
        <v>3</v>
      </c>
      <c r="D46" s="78">
        <v>5</v>
      </c>
      <c r="E46" s="78" t="s">
        <v>28</v>
      </c>
      <c r="F46" s="78">
        <v>4</v>
      </c>
      <c r="G46" s="76" t="s">
        <v>275</v>
      </c>
    </row>
    <row r="47" spans="1:7" ht="17" hidden="1" x14ac:dyDescent="0.2">
      <c r="A47" s="77" t="s">
        <v>272</v>
      </c>
      <c r="B47" s="77" t="s">
        <v>266</v>
      </c>
      <c r="C47" s="78">
        <v>4</v>
      </c>
      <c r="D47" s="78">
        <v>7</v>
      </c>
      <c r="E47" s="78" t="s">
        <v>28</v>
      </c>
      <c r="F47" s="78">
        <v>5</v>
      </c>
      <c r="G47" s="76" t="s">
        <v>276</v>
      </c>
    </row>
    <row r="48" spans="1:7" ht="17" hidden="1" x14ac:dyDescent="0.2">
      <c r="A48" s="77" t="s">
        <v>272</v>
      </c>
      <c r="B48" s="77" t="s">
        <v>266</v>
      </c>
      <c r="C48" s="78">
        <v>5</v>
      </c>
      <c r="D48" s="78">
        <v>9</v>
      </c>
      <c r="E48" s="78" t="s">
        <v>28</v>
      </c>
      <c r="F48" s="78">
        <v>6</v>
      </c>
      <c r="G48" s="76" t="s">
        <v>277</v>
      </c>
    </row>
    <row r="49" spans="1:7" ht="17" hidden="1" x14ac:dyDescent="0.2">
      <c r="A49" s="77" t="s">
        <v>278</v>
      </c>
      <c r="B49" s="77" t="s">
        <v>266</v>
      </c>
      <c r="C49" s="78">
        <v>1</v>
      </c>
      <c r="D49" s="78">
        <v>1</v>
      </c>
      <c r="E49" s="78" t="s">
        <v>28</v>
      </c>
      <c r="F49" s="78">
        <v>2</v>
      </c>
      <c r="G49" s="76" t="s">
        <v>279</v>
      </c>
    </row>
    <row r="50" spans="1:7" ht="17" hidden="1" x14ac:dyDescent="0.2">
      <c r="A50" s="77" t="s">
        <v>278</v>
      </c>
      <c r="B50" s="77" t="s">
        <v>266</v>
      </c>
      <c r="C50" s="78">
        <v>2</v>
      </c>
      <c r="D50" s="78">
        <v>2</v>
      </c>
      <c r="E50" s="78" t="s">
        <v>28</v>
      </c>
      <c r="F50" s="78">
        <v>3</v>
      </c>
      <c r="G50" s="76" t="s">
        <v>280</v>
      </c>
    </row>
    <row r="51" spans="1:7" ht="17" hidden="1" x14ac:dyDescent="0.2">
      <c r="A51" s="77" t="s">
        <v>278</v>
      </c>
      <c r="B51" s="77" t="s">
        <v>266</v>
      </c>
      <c r="C51" s="78">
        <v>3</v>
      </c>
      <c r="D51" s="78">
        <v>4</v>
      </c>
      <c r="E51" s="78" t="s">
        <v>28</v>
      </c>
      <c r="F51" s="78">
        <v>4</v>
      </c>
      <c r="G51" s="76" t="s">
        <v>281</v>
      </c>
    </row>
    <row r="52" spans="1:7" ht="17" hidden="1" x14ac:dyDescent="0.2">
      <c r="A52" s="77" t="s">
        <v>278</v>
      </c>
      <c r="B52" s="77" t="s">
        <v>266</v>
      </c>
      <c r="C52" s="78">
        <v>4</v>
      </c>
      <c r="D52" s="78">
        <v>7</v>
      </c>
      <c r="E52" s="78" t="s">
        <v>28</v>
      </c>
      <c r="F52" s="78">
        <v>5</v>
      </c>
      <c r="G52" s="76" t="s">
        <v>282</v>
      </c>
    </row>
    <row r="53" spans="1:7" ht="17" hidden="1" x14ac:dyDescent="0.2">
      <c r="A53" s="77" t="s">
        <v>278</v>
      </c>
      <c r="B53" s="77" t="s">
        <v>266</v>
      </c>
      <c r="C53" s="78">
        <v>5</v>
      </c>
      <c r="D53" s="78">
        <v>10</v>
      </c>
      <c r="E53" s="78" t="s">
        <v>28</v>
      </c>
      <c r="F53" s="78">
        <v>6</v>
      </c>
      <c r="G53" s="76" t="s">
        <v>283</v>
      </c>
    </row>
    <row r="54" spans="1:7" ht="17" hidden="1" x14ac:dyDescent="0.2">
      <c r="A54" s="77" t="s">
        <v>284</v>
      </c>
      <c r="B54" s="77" t="s">
        <v>266</v>
      </c>
      <c r="C54" s="78">
        <v>1</v>
      </c>
      <c r="D54" s="78">
        <v>1</v>
      </c>
      <c r="E54" s="78" t="s">
        <v>28</v>
      </c>
      <c r="F54" s="78">
        <v>2</v>
      </c>
      <c r="G54" s="76" t="s">
        <v>285</v>
      </c>
    </row>
    <row r="55" spans="1:7" ht="17" hidden="1" x14ac:dyDescent="0.2">
      <c r="A55" s="77" t="s">
        <v>284</v>
      </c>
      <c r="B55" s="77" t="s">
        <v>266</v>
      </c>
      <c r="C55" s="78">
        <v>2</v>
      </c>
      <c r="D55" s="78">
        <v>2</v>
      </c>
      <c r="E55" s="78" t="s">
        <v>28</v>
      </c>
      <c r="F55" s="78">
        <v>3</v>
      </c>
      <c r="G55" s="76" t="s">
        <v>286</v>
      </c>
    </row>
    <row r="56" spans="1:7" ht="17" hidden="1" x14ac:dyDescent="0.2">
      <c r="A56" s="77" t="s">
        <v>284</v>
      </c>
      <c r="B56" s="77" t="s">
        <v>266</v>
      </c>
      <c r="C56" s="78">
        <v>3</v>
      </c>
      <c r="D56" s="78">
        <v>5</v>
      </c>
      <c r="E56" s="78" t="s">
        <v>28</v>
      </c>
      <c r="F56" s="78">
        <v>4</v>
      </c>
      <c r="G56" s="76" t="s">
        <v>287</v>
      </c>
    </row>
    <row r="57" spans="1:7" ht="17" hidden="1" x14ac:dyDescent="0.2">
      <c r="A57" s="77" t="s">
        <v>284</v>
      </c>
      <c r="B57" s="77" t="s">
        <v>266</v>
      </c>
      <c r="C57" s="78">
        <v>4</v>
      </c>
      <c r="D57" s="78">
        <v>9</v>
      </c>
      <c r="E57" s="78" t="s">
        <v>28</v>
      </c>
      <c r="F57" s="78">
        <v>5</v>
      </c>
      <c r="G57" s="76" t="s">
        <v>288</v>
      </c>
    </row>
    <row r="58" spans="1:7" ht="17" hidden="1" x14ac:dyDescent="0.2">
      <c r="A58" s="77" t="s">
        <v>284</v>
      </c>
      <c r="B58" s="77" t="s">
        <v>266</v>
      </c>
      <c r="C58" s="78">
        <v>5</v>
      </c>
      <c r="D58" s="78">
        <v>10</v>
      </c>
      <c r="E58" s="78" t="s">
        <v>28</v>
      </c>
      <c r="F58" s="78">
        <v>6</v>
      </c>
      <c r="G58" s="76" t="s">
        <v>289</v>
      </c>
    </row>
    <row r="59" spans="1:7" ht="34" x14ac:dyDescent="0.2">
      <c r="A59" s="77" t="s">
        <v>290</v>
      </c>
      <c r="B59" s="77" t="s">
        <v>266</v>
      </c>
      <c r="C59" s="78">
        <v>1</v>
      </c>
      <c r="D59" s="78">
        <v>1</v>
      </c>
      <c r="E59" s="78" t="s">
        <v>27</v>
      </c>
      <c r="F59" s="78">
        <v>0</v>
      </c>
      <c r="G59" s="76" t="s">
        <v>329</v>
      </c>
    </row>
    <row r="60" spans="1:7" ht="34" x14ac:dyDescent="0.2">
      <c r="A60" s="77" t="s">
        <v>290</v>
      </c>
      <c r="B60" s="77" t="s">
        <v>266</v>
      </c>
      <c r="C60" s="78">
        <v>2</v>
      </c>
      <c r="D60" s="78">
        <v>3</v>
      </c>
      <c r="E60" s="78" t="s">
        <v>27</v>
      </c>
      <c r="F60" s="78">
        <v>3</v>
      </c>
      <c r="G60" s="76" t="s">
        <v>291</v>
      </c>
    </row>
    <row r="61" spans="1:7" ht="34" x14ac:dyDescent="0.2">
      <c r="A61" s="77" t="s">
        <v>290</v>
      </c>
      <c r="B61" s="77" t="s">
        <v>266</v>
      </c>
      <c r="C61" s="78">
        <v>3</v>
      </c>
      <c r="D61" s="78">
        <v>5</v>
      </c>
      <c r="E61" s="78" t="s">
        <v>27</v>
      </c>
      <c r="F61" s="78">
        <v>4</v>
      </c>
      <c r="G61" s="76" t="s">
        <v>292</v>
      </c>
    </row>
    <row r="62" spans="1:7" ht="34" hidden="1" x14ac:dyDescent="0.2">
      <c r="A62" s="77" t="s">
        <v>290</v>
      </c>
      <c r="B62" s="77" t="s">
        <v>266</v>
      </c>
      <c r="C62" s="78">
        <v>4</v>
      </c>
      <c r="D62" s="78">
        <v>7</v>
      </c>
      <c r="E62" s="78" t="s">
        <v>28</v>
      </c>
      <c r="F62" s="78">
        <v>5</v>
      </c>
      <c r="G62" s="76" t="s">
        <v>293</v>
      </c>
    </row>
    <row r="63" spans="1:7" ht="34" hidden="1" x14ac:dyDescent="0.2">
      <c r="A63" s="77" t="s">
        <v>290</v>
      </c>
      <c r="B63" s="77" t="s">
        <v>266</v>
      </c>
      <c r="C63" s="78">
        <v>5</v>
      </c>
      <c r="D63" s="78">
        <v>9</v>
      </c>
      <c r="E63" s="78" t="s">
        <v>28</v>
      </c>
      <c r="F63" s="78">
        <v>6</v>
      </c>
      <c r="G63" s="76" t="s">
        <v>294</v>
      </c>
    </row>
    <row r="64" spans="1:7" ht="17" x14ac:dyDescent="0.2">
      <c r="A64" s="77" t="s">
        <v>295</v>
      </c>
      <c r="B64" s="77" t="s">
        <v>266</v>
      </c>
      <c r="C64" s="78">
        <v>1</v>
      </c>
      <c r="D64" s="78">
        <v>1</v>
      </c>
      <c r="E64" s="78" t="s">
        <v>27</v>
      </c>
      <c r="F64" s="78">
        <v>2</v>
      </c>
      <c r="G64" s="76" t="s">
        <v>330</v>
      </c>
    </row>
    <row r="65" spans="1:7" ht="17" hidden="1" x14ac:dyDescent="0.2">
      <c r="A65" s="77" t="s">
        <v>296</v>
      </c>
      <c r="B65" s="77" t="s">
        <v>266</v>
      </c>
      <c r="C65" s="78">
        <v>1</v>
      </c>
      <c r="D65" s="78">
        <v>1</v>
      </c>
      <c r="E65" s="78" t="s">
        <v>28</v>
      </c>
      <c r="F65" s="78">
        <v>2</v>
      </c>
      <c r="G65" s="76" t="s">
        <v>297</v>
      </c>
    </row>
    <row r="66" spans="1:7" ht="17" hidden="1" x14ac:dyDescent="0.2">
      <c r="A66" s="77" t="s">
        <v>296</v>
      </c>
      <c r="B66" s="77" t="s">
        <v>266</v>
      </c>
      <c r="C66" s="78">
        <v>2</v>
      </c>
      <c r="D66" s="78">
        <v>2</v>
      </c>
      <c r="E66" s="78" t="s">
        <v>28</v>
      </c>
      <c r="F66" s="78">
        <v>3</v>
      </c>
      <c r="G66" s="76" t="s">
        <v>298</v>
      </c>
    </row>
    <row r="67" spans="1:7" ht="17" hidden="1" x14ac:dyDescent="0.2">
      <c r="A67" s="77" t="s">
        <v>296</v>
      </c>
      <c r="B67" s="77" t="s">
        <v>266</v>
      </c>
      <c r="C67" s="78">
        <v>3</v>
      </c>
      <c r="D67" s="78">
        <v>3</v>
      </c>
      <c r="E67" s="78" t="s">
        <v>28</v>
      </c>
      <c r="F67" s="78">
        <v>4</v>
      </c>
      <c r="G67" s="76" t="s">
        <v>299</v>
      </c>
    </row>
    <row r="68" spans="1:7" ht="17" hidden="1" x14ac:dyDescent="0.2">
      <c r="A68" s="77" t="s">
        <v>296</v>
      </c>
      <c r="B68" s="77" t="s">
        <v>266</v>
      </c>
      <c r="C68" s="78">
        <v>4</v>
      </c>
      <c r="D68" s="78">
        <v>4</v>
      </c>
      <c r="E68" s="78" t="s">
        <v>28</v>
      </c>
      <c r="F68" s="78">
        <v>5</v>
      </c>
      <c r="G68" s="76" t="s">
        <v>300</v>
      </c>
    </row>
    <row r="69" spans="1:7" ht="17" hidden="1" x14ac:dyDescent="0.2">
      <c r="A69" s="77" t="s">
        <v>296</v>
      </c>
      <c r="B69" s="77" t="s">
        <v>266</v>
      </c>
      <c r="C69" s="78">
        <v>5</v>
      </c>
      <c r="D69" s="78">
        <v>5</v>
      </c>
      <c r="E69" s="78" t="s">
        <v>28</v>
      </c>
      <c r="F69" s="78">
        <v>6</v>
      </c>
      <c r="G69" s="76" t="s">
        <v>301</v>
      </c>
    </row>
    <row r="70" spans="1:7" ht="17" x14ac:dyDescent="0.2">
      <c r="A70" s="77" t="s">
        <v>302</v>
      </c>
      <c r="B70" s="77" t="s">
        <v>266</v>
      </c>
      <c r="C70" s="78">
        <v>1</v>
      </c>
      <c r="D70" s="78">
        <v>1</v>
      </c>
      <c r="E70" s="78" t="s">
        <v>27</v>
      </c>
      <c r="F70" s="78">
        <v>2</v>
      </c>
      <c r="G70" s="76" t="s">
        <v>303</v>
      </c>
    </row>
    <row r="71" spans="1:7" ht="17" hidden="1" x14ac:dyDescent="0.2">
      <c r="A71" s="77" t="s">
        <v>302</v>
      </c>
      <c r="B71" s="77" t="s">
        <v>266</v>
      </c>
      <c r="C71" s="78">
        <v>2</v>
      </c>
      <c r="D71" s="78">
        <v>3</v>
      </c>
      <c r="E71" s="78" t="s">
        <v>28</v>
      </c>
      <c r="F71" s="78">
        <v>3</v>
      </c>
      <c r="G71" s="76" t="s">
        <v>304</v>
      </c>
    </row>
    <row r="72" spans="1:7" ht="17" hidden="1" x14ac:dyDescent="0.2">
      <c r="A72" s="77" t="s">
        <v>302</v>
      </c>
      <c r="B72" s="77" t="s">
        <v>266</v>
      </c>
      <c r="C72" s="78">
        <v>3</v>
      </c>
      <c r="D72" s="78">
        <v>5</v>
      </c>
      <c r="E72" s="78" t="s">
        <v>28</v>
      </c>
      <c r="F72" s="78">
        <v>4</v>
      </c>
      <c r="G72" s="76" t="s">
        <v>305</v>
      </c>
    </row>
    <row r="73" spans="1:7" ht="17" hidden="1" x14ac:dyDescent="0.2">
      <c r="A73" s="77" t="s">
        <v>302</v>
      </c>
      <c r="B73" s="77" t="s">
        <v>266</v>
      </c>
      <c r="C73" s="78">
        <v>4</v>
      </c>
      <c r="D73" s="78">
        <v>9</v>
      </c>
      <c r="E73" s="78" t="s">
        <v>28</v>
      </c>
      <c r="F73" s="78">
        <v>5</v>
      </c>
      <c r="G73" s="76" t="s">
        <v>306</v>
      </c>
    </row>
    <row r="74" spans="1:7" ht="17" hidden="1" x14ac:dyDescent="0.2">
      <c r="A74" s="77" t="s">
        <v>302</v>
      </c>
      <c r="B74" s="77" t="s">
        <v>266</v>
      </c>
      <c r="C74" s="78">
        <v>5</v>
      </c>
      <c r="D74" s="78">
        <v>10</v>
      </c>
      <c r="E74" s="78" t="s">
        <v>28</v>
      </c>
      <c r="F74" s="78">
        <v>6</v>
      </c>
      <c r="G74" s="76" t="s">
        <v>307</v>
      </c>
    </row>
    <row r="75" spans="1:7" ht="17" x14ac:dyDescent="0.2">
      <c r="A75" s="77" t="s">
        <v>308</v>
      </c>
      <c r="B75" s="77" t="s">
        <v>266</v>
      </c>
      <c r="C75" s="78">
        <v>1</v>
      </c>
      <c r="D75" s="78">
        <v>1</v>
      </c>
      <c r="E75" s="78" t="s">
        <v>27</v>
      </c>
      <c r="F75" s="78">
        <v>0</v>
      </c>
      <c r="G75" s="76" t="s">
        <v>313</v>
      </c>
    </row>
    <row r="76" spans="1:7" ht="17" hidden="1" x14ac:dyDescent="0.2">
      <c r="A76" s="77" t="s">
        <v>308</v>
      </c>
      <c r="B76" s="77" t="s">
        <v>266</v>
      </c>
      <c r="C76" s="78">
        <v>2</v>
      </c>
      <c r="D76" s="78">
        <v>3</v>
      </c>
      <c r="E76" s="78" t="s">
        <v>28</v>
      </c>
      <c r="F76" s="78">
        <v>3</v>
      </c>
      <c r="G76" s="76" t="s">
        <v>309</v>
      </c>
    </row>
    <row r="77" spans="1:7" ht="17" hidden="1" x14ac:dyDescent="0.2">
      <c r="A77" s="77" t="s">
        <v>308</v>
      </c>
      <c r="B77" s="77" t="s">
        <v>266</v>
      </c>
      <c r="C77" s="78">
        <v>3</v>
      </c>
      <c r="D77" s="78">
        <v>5</v>
      </c>
      <c r="E77" s="78" t="s">
        <v>28</v>
      </c>
      <c r="F77" s="78">
        <v>4</v>
      </c>
      <c r="G77" s="76" t="s">
        <v>310</v>
      </c>
    </row>
    <row r="78" spans="1:7" ht="17" hidden="1" x14ac:dyDescent="0.2">
      <c r="A78" s="77" t="s">
        <v>308</v>
      </c>
      <c r="B78" s="77" t="s">
        <v>266</v>
      </c>
      <c r="C78" s="78">
        <v>4</v>
      </c>
      <c r="D78" s="78">
        <v>7</v>
      </c>
      <c r="E78" s="78" t="s">
        <v>28</v>
      </c>
      <c r="F78" s="78">
        <v>5</v>
      </c>
      <c r="G78" s="76" t="s">
        <v>311</v>
      </c>
    </row>
    <row r="79" spans="1:7" ht="17" hidden="1" x14ac:dyDescent="0.2">
      <c r="A79" s="77" t="s">
        <v>308</v>
      </c>
      <c r="B79" s="77" t="s">
        <v>266</v>
      </c>
      <c r="C79" s="78">
        <v>5</v>
      </c>
      <c r="D79" s="78">
        <v>9</v>
      </c>
      <c r="E79" s="78" t="s">
        <v>28</v>
      </c>
      <c r="F79" s="78">
        <v>6</v>
      </c>
      <c r="G79" s="76" t="s">
        <v>312</v>
      </c>
    </row>
    <row r="80" spans="1:7" ht="17" x14ac:dyDescent="0.2">
      <c r="A80" s="77" t="s">
        <v>314</v>
      </c>
      <c r="B80" s="77" t="s">
        <v>266</v>
      </c>
      <c r="C80" s="78">
        <v>1</v>
      </c>
      <c r="D80" s="78">
        <v>1</v>
      </c>
      <c r="E80" s="78" t="s">
        <v>27</v>
      </c>
      <c r="F80" s="78">
        <v>0</v>
      </c>
      <c r="G80" s="76" t="s">
        <v>315</v>
      </c>
    </row>
    <row r="81" spans="1:7" ht="17" hidden="1" x14ac:dyDescent="0.2">
      <c r="A81" s="77" t="s">
        <v>314</v>
      </c>
      <c r="B81" s="77" t="s">
        <v>266</v>
      </c>
      <c r="C81" s="78">
        <v>2</v>
      </c>
      <c r="D81" s="78">
        <v>3</v>
      </c>
      <c r="E81" s="78" t="s">
        <v>28</v>
      </c>
      <c r="F81" s="78">
        <v>3</v>
      </c>
      <c r="G81" s="76" t="s">
        <v>316</v>
      </c>
    </row>
    <row r="82" spans="1:7" ht="17" hidden="1" x14ac:dyDescent="0.2">
      <c r="A82" s="77" t="s">
        <v>314</v>
      </c>
      <c r="B82" s="77" t="s">
        <v>266</v>
      </c>
      <c r="C82" s="78">
        <v>3</v>
      </c>
      <c r="D82" s="78">
        <v>5</v>
      </c>
      <c r="E82" s="78" t="s">
        <v>28</v>
      </c>
      <c r="F82" s="78">
        <v>4</v>
      </c>
      <c r="G82" s="76" t="s">
        <v>317</v>
      </c>
    </row>
    <row r="83" spans="1:7" ht="17" hidden="1" x14ac:dyDescent="0.2">
      <c r="A83" s="77" t="s">
        <v>314</v>
      </c>
      <c r="B83" s="77" t="s">
        <v>266</v>
      </c>
      <c r="C83" s="78">
        <v>4</v>
      </c>
      <c r="D83" s="78">
        <v>7</v>
      </c>
      <c r="E83" s="78" t="s">
        <v>28</v>
      </c>
      <c r="F83" s="78">
        <v>5</v>
      </c>
      <c r="G83" s="76" t="s">
        <v>318</v>
      </c>
    </row>
    <row r="84" spans="1:7" ht="17" hidden="1" x14ac:dyDescent="0.2">
      <c r="A84" s="77" t="s">
        <v>314</v>
      </c>
      <c r="B84" s="77" t="s">
        <v>266</v>
      </c>
      <c r="C84" s="78">
        <v>5</v>
      </c>
      <c r="D84" s="78">
        <v>9</v>
      </c>
      <c r="E84" s="78" t="s">
        <v>28</v>
      </c>
      <c r="F84" s="78">
        <v>6</v>
      </c>
      <c r="G84" s="76" t="s">
        <v>319</v>
      </c>
    </row>
    <row r="85" spans="1:7" x14ac:dyDescent="0.2">
      <c r="A85" t="s">
        <v>48</v>
      </c>
      <c r="F85" s="8">
        <f>SUMIF(Table18[Enabled],"=Yes",Table18[XP])</f>
        <v>19</v>
      </c>
    </row>
  </sheetData>
  <dataValidations count="1">
    <dataValidation type="list" allowBlank="1" showInputMessage="1" showErrorMessage="1" sqref="E2:E84"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2019-01-02T06:43:04Z</cp:lastPrinted>
  <dcterms:created xsi:type="dcterms:W3CDTF">2018-12-15T09:53:02Z</dcterms:created>
  <dcterms:modified xsi:type="dcterms:W3CDTF">2019-01-02T06:43:05Z</dcterms:modified>
</cp:coreProperties>
</file>