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.2021년 계약\2.용역계약\수의견적\광주콘텐츠창업보육센터 청소 용역\최종\"/>
    </mc:Choice>
  </mc:AlternateContent>
  <bookViews>
    <workbookView xWindow="-285" yWindow="15" windowWidth="14550" windowHeight="14010" tabRatio="613"/>
  </bookViews>
  <sheets>
    <sheet name="청소 용역비" sheetId="33" r:id="rId1"/>
    <sheet name="시설관리 (2)" sheetId="50" state="hidden" r:id="rId2"/>
    <sheet name="창업보육센터_청소1인" sheetId="49" r:id="rId3"/>
    <sheet name="CGI센터_경비안내" sheetId="48" state="hidden" r:id="rId4"/>
  </sheets>
  <definedNames>
    <definedName name="_xlnm.Print_Area" localSheetId="3">CGI센터_경비안내!$A$1:$F$30</definedName>
    <definedName name="_xlnm.Print_Area" localSheetId="1">'시설관리 (2)'!$A$1:$F$28</definedName>
    <definedName name="_xlnm.Print_Area" localSheetId="2">창업보육센터_청소1인!$A$1:$E$29</definedName>
    <definedName name="_xlnm.Print_Area" localSheetId="0">'청소 용역비'!$A$1:$C$14</definedName>
  </definedNames>
  <calcPr calcId="162913"/>
</workbook>
</file>

<file path=xl/calcChain.xml><?xml version="1.0" encoding="utf-8"?>
<calcChain xmlns="http://schemas.openxmlformats.org/spreadsheetml/2006/main">
  <c r="K7" i="50" l="1"/>
  <c r="I7" i="50"/>
  <c r="K6" i="50"/>
  <c r="E5" i="50"/>
  <c r="E7" i="50" s="1"/>
  <c r="D5" i="50"/>
  <c r="D6" i="50" s="1"/>
  <c r="J6" i="48"/>
  <c r="D5" i="48"/>
  <c r="E5" i="48" s="1"/>
  <c r="E1" i="33"/>
  <c r="G1" i="49" s="1"/>
  <c r="E8" i="50" l="1"/>
  <c r="E14" i="50" s="1"/>
  <c r="D6" i="48"/>
  <c r="D8" i="48"/>
  <c r="H1" i="48"/>
  <c r="H1" i="50"/>
  <c r="D8" i="50"/>
  <c r="D13" i="50" s="1"/>
  <c r="D9" i="48" l="1"/>
  <c r="D10" i="48" s="1"/>
  <c r="D19" i="48" s="1"/>
  <c r="E9" i="50"/>
  <c r="E10" i="50" s="1"/>
  <c r="E19" i="50" s="1"/>
  <c r="E16" i="50"/>
  <c r="E13" i="50"/>
  <c r="E12" i="50"/>
  <c r="E15" i="50" s="1"/>
  <c r="E11" i="50"/>
  <c r="E6" i="48"/>
  <c r="E8" i="48"/>
  <c r="D16" i="48"/>
  <c r="E16" i="48" s="1"/>
  <c r="D13" i="48"/>
  <c r="E13" i="48" s="1"/>
  <c r="D12" i="48"/>
  <c r="D14" i="48"/>
  <c r="E14" i="48" s="1"/>
  <c r="D11" i="48"/>
  <c r="E11" i="48" s="1"/>
  <c r="D9" i="50"/>
  <c r="D10" i="50" s="1"/>
  <c r="D19" i="50" s="1"/>
  <c r="D16" i="50"/>
  <c r="D11" i="50"/>
  <c r="D12" i="50"/>
  <c r="D15" i="50" s="1"/>
  <c r="D14" i="50"/>
  <c r="E20" i="50" l="1"/>
  <c r="E21" i="50" s="1"/>
  <c r="E22" i="50" s="1"/>
  <c r="E23" i="50" s="1"/>
  <c r="E24" i="50" s="1"/>
  <c r="E25" i="50" s="1"/>
  <c r="E26" i="50" s="1"/>
  <c r="E27" i="50" s="1"/>
  <c r="H27" i="50" s="1"/>
  <c r="E10" i="48"/>
  <c r="D15" i="48"/>
  <c r="E15" i="48" s="1"/>
  <c r="E12" i="48"/>
  <c r="D20" i="48"/>
  <c r="D20" i="50"/>
  <c r="D21" i="50" s="1"/>
  <c r="D22" i="50" s="1"/>
  <c r="D23" i="50" s="1"/>
  <c r="D24" i="50" s="1"/>
  <c r="D25" i="50" s="1"/>
  <c r="D26" i="50" s="1"/>
  <c r="D27" i="50" s="1"/>
  <c r="I25" i="50" s="1"/>
  <c r="I26" i="50" l="1"/>
  <c r="E28" i="50"/>
  <c r="D21" i="48"/>
  <c r="E20" i="48"/>
  <c r="E21" i="48" l="1"/>
  <c r="D22" i="48"/>
  <c r="B5" i="33" l="1"/>
  <c r="B6" i="33" s="1"/>
  <c r="D23" i="48"/>
  <c r="D24" i="48" s="1"/>
  <c r="E22" i="48"/>
  <c r="E23" i="48" s="1"/>
  <c r="E24" i="48" l="1"/>
  <c r="D25" i="48"/>
  <c r="E25" i="48" l="1"/>
  <c r="D26" i="48"/>
  <c r="D27" i="48" l="1"/>
  <c r="D28" i="48" s="1"/>
  <c r="F34" i="48" s="1"/>
  <c r="E26" i="48"/>
</calcChain>
</file>

<file path=xl/sharedStrings.xml><?xml version="1.0" encoding="utf-8"?>
<sst xmlns="http://schemas.openxmlformats.org/spreadsheetml/2006/main" count="190" uniqueCount="144">
  <si>
    <t>고용보험료</t>
    <phoneticPr fontId="3" type="noConversion"/>
  </si>
  <si>
    <t>산재보험료</t>
    <phoneticPr fontId="3" type="noConversion"/>
  </si>
  <si>
    <t>노인장기요양보험</t>
    <phoneticPr fontId="3" type="noConversion"/>
  </si>
  <si>
    <t>사업소세</t>
    <phoneticPr fontId="3" type="noConversion"/>
  </si>
  <si>
    <t>일반관리비</t>
    <phoneticPr fontId="3" type="noConversion"/>
  </si>
  <si>
    <t>피복비</t>
    <phoneticPr fontId="3" type="noConversion"/>
  </si>
  <si>
    <t>기    본    급</t>
    <phoneticPr fontId="3" type="noConversion"/>
  </si>
  <si>
    <t>퇴직충당금</t>
    <phoneticPr fontId="3" type="noConversion"/>
  </si>
  <si>
    <t>국민연금</t>
    <phoneticPr fontId="3" type="noConversion"/>
  </si>
  <si>
    <t>건강보험료</t>
    <phoneticPr fontId="3" type="noConversion"/>
  </si>
  <si>
    <t>부가가치세(VAT)</t>
    <phoneticPr fontId="3" type="noConversion"/>
  </si>
  <si>
    <t xml:space="preserve">구    분 </t>
    <phoneticPr fontId="3" type="noConversion"/>
  </si>
  <si>
    <t>월간 총계(1인당)</t>
    <phoneticPr fontId="3" type="noConversion"/>
  </si>
  <si>
    <t xml:space="preserve">  인   원(명)</t>
    <phoneticPr fontId="3" type="noConversion"/>
  </si>
  <si>
    <t>월간 총계(총인원)</t>
    <phoneticPr fontId="3" type="noConversion"/>
  </si>
  <si>
    <t>(단위 : 원)</t>
    <phoneticPr fontId="3" type="noConversion"/>
  </si>
  <si>
    <t>이      윤</t>
    <phoneticPr fontId="3" type="noConversion"/>
  </si>
  <si>
    <t>인
건
비</t>
    <phoneticPr fontId="3" type="noConversion"/>
  </si>
  <si>
    <t>시간외근무수당</t>
    <phoneticPr fontId="3" type="noConversion"/>
  </si>
  <si>
    <t>제
수
당</t>
    <phoneticPr fontId="3" type="noConversion"/>
  </si>
  <si>
    <t>소    계</t>
    <phoneticPr fontId="3" type="noConversion"/>
  </si>
  <si>
    <t>복
리
후
생
비</t>
    <phoneticPr fontId="3" type="noConversion"/>
  </si>
  <si>
    <t>식비지원금</t>
    <phoneticPr fontId="3" type="noConversion"/>
  </si>
  <si>
    <t xml:space="preserve"> 건강보험료*6.55%</t>
    <phoneticPr fontId="3" type="noConversion"/>
  </si>
  <si>
    <t xml:space="preserve"> (기본급+제수당)*4.5%</t>
    <phoneticPr fontId="3" type="noConversion"/>
  </si>
  <si>
    <t xml:space="preserve"> (기본급+제수당)*1.5%</t>
    <phoneticPr fontId="3" type="noConversion"/>
  </si>
  <si>
    <t xml:space="preserve"> (기본급+제수당)*1.8%</t>
    <phoneticPr fontId="3" type="noConversion"/>
  </si>
  <si>
    <t xml:space="preserve"> (기본급+제수당)*0.08%</t>
    <phoneticPr fontId="3" type="noConversion"/>
  </si>
  <si>
    <t>임금채권보장보험</t>
    <phoneticPr fontId="3" type="noConversion"/>
  </si>
  <si>
    <t xml:space="preserve"> 1년 2차(동·하복), 외곽작업요원의 방한복 1착</t>
    <phoneticPr fontId="3" type="noConversion"/>
  </si>
  <si>
    <t xml:space="preserve"> 인건비*0.5%</t>
    <phoneticPr fontId="3" type="noConversion"/>
  </si>
  <si>
    <t>야간근무수당</t>
    <phoneticPr fontId="3" type="noConversion"/>
  </si>
  <si>
    <t>팀원</t>
    <phoneticPr fontId="3" type="noConversion"/>
  </si>
  <si>
    <t>산출근거</t>
    <phoneticPr fontId="3" type="noConversion"/>
  </si>
  <si>
    <t>산 출 근 거</t>
    <phoneticPr fontId="3" type="noConversion"/>
  </si>
  <si>
    <t xml:space="preserve"> ○ 근무시간 : 월 209시간, 주5일, 8시간</t>
    <phoneticPr fontId="3" type="noConversion"/>
  </si>
  <si>
    <t>월 근무시간 :</t>
    <phoneticPr fontId="3" type="noConversion"/>
  </si>
  <si>
    <t>시설관리 용역 내역서</t>
    <phoneticPr fontId="3" type="noConversion"/>
  </si>
  <si>
    <t>경비·안내 용역 내역서</t>
    <phoneticPr fontId="3" type="noConversion"/>
  </si>
  <si>
    <t xml:space="preserve">야간근무시간 : </t>
    <phoneticPr fontId="3" type="noConversion"/>
  </si>
  <si>
    <t>소장 근무시간</t>
    <phoneticPr fontId="3" type="noConversion"/>
  </si>
  <si>
    <t xml:space="preserve">팀원 근무시간 </t>
    <phoneticPr fontId="3" type="noConversion"/>
  </si>
  <si>
    <t>(근무형태 : 주간,야간,휴무)</t>
    <phoneticPr fontId="3" type="noConversion"/>
  </si>
  <si>
    <t>주5일, 8시간</t>
    <phoneticPr fontId="3" type="noConversion"/>
  </si>
  <si>
    <t xml:space="preserve"> (기본급+제수당)/12</t>
    <phoneticPr fontId="3" type="noConversion"/>
  </si>
  <si>
    <t xml:space="preserve"> (기본급/209)*연장근로시간*1.5</t>
    <phoneticPr fontId="3" type="noConversion"/>
  </si>
  <si>
    <t xml:space="preserve"> (기본급/209)*야간근로시간*0.5</t>
    <phoneticPr fontId="3" type="noConversion"/>
  </si>
  <si>
    <t xml:space="preserve"> (기본급/209(213))*야간근로시간*0.5</t>
    <phoneticPr fontId="3" type="noConversion"/>
  </si>
  <si>
    <t>복리
후생
비</t>
    <phoneticPr fontId="3" type="noConversion"/>
  </si>
  <si>
    <t xml:space="preserve"> 1년 2차(동·하복), 외곽작업요원의 방한복 1착
 (한국건물위생관리협회 2015년 건물위생관리용역 표준도급비 산출산출기준표 적용)</t>
    <phoneticPr fontId="3" type="noConversion"/>
  </si>
  <si>
    <t xml:space="preserve"> 한국건물위생관리협회 2015년 건물위생관리용역 표준도급비 산출산출기준표 적용</t>
    <phoneticPr fontId="3" type="noConversion"/>
  </si>
  <si>
    <t xml:space="preserve"> 피복비</t>
    <phoneticPr fontId="3" type="noConversion"/>
  </si>
  <si>
    <t xml:space="preserve"> 식비지원금</t>
    <phoneticPr fontId="3" type="noConversion"/>
  </si>
  <si>
    <t xml:space="preserve"> 시간외근무수당</t>
    <phoneticPr fontId="3" type="noConversion"/>
  </si>
  <si>
    <t xml:space="preserve"> 야간근무수당</t>
    <phoneticPr fontId="3" type="noConversion"/>
  </si>
  <si>
    <t xml:space="preserve"> 연차수당</t>
    <phoneticPr fontId="3" type="noConversion"/>
  </si>
  <si>
    <t xml:space="preserve"> 기    본    급</t>
    <phoneticPr fontId="3" type="noConversion"/>
  </si>
  <si>
    <t xml:space="preserve"> 퇴직충당금</t>
    <phoneticPr fontId="3" type="noConversion"/>
  </si>
  <si>
    <t xml:space="preserve"> 국민연금</t>
    <phoneticPr fontId="3" type="noConversion"/>
  </si>
  <si>
    <t xml:space="preserve"> 건강보험료</t>
    <phoneticPr fontId="3" type="noConversion"/>
  </si>
  <si>
    <t xml:space="preserve"> 고용보험료</t>
    <phoneticPr fontId="3" type="noConversion"/>
  </si>
  <si>
    <t xml:space="preserve"> 산재보험료</t>
    <phoneticPr fontId="3" type="noConversion"/>
  </si>
  <si>
    <t xml:space="preserve"> 노인장기요양보험</t>
    <phoneticPr fontId="3" type="noConversion"/>
  </si>
  <si>
    <t xml:space="preserve"> 임금채권보장보험</t>
    <phoneticPr fontId="3" type="noConversion"/>
  </si>
  <si>
    <t>연 차 수 당</t>
    <phoneticPr fontId="3" type="noConversion"/>
  </si>
  <si>
    <t xml:space="preserve"> ○ 초과근무시간 : </t>
    <phoneticPr fontId="3" type="noConversion"/>
  </si>
  <si>
    <t xml:space="preserve"> ((기본급/209)*8)*15)/12월</t>
    <phoneticPr fontId="3" type="noConversion"/>
  </si>
  <si>
    <t xml:space="preserve"> (인건비+경비+일반관리비)*7%</t>
    <phoneticPr fontId="3" type="noConversion"/>
  </si>
  <si>
    <t xml:space="preserve"> (인건비+경비)*5%</t>
    <phoneticPr fontId="3" type="noConversion"/>
  </si>
  <si>
    <t>순  원  가</t>
    <phoneticPr fontId="3" type="noConversion"/>
  </si>
  <si>
    <t>도급계약단가</t>
    <phoneticPr fontId="3" type="noConversion"/>
  </si>
  <si>
    <t>합          계</t>
    <phoneticPr fontId="3" type="noConversion"/>
  </si>
  <si>
    <t>합      계</t>
    <phoneticPr fontId="3" type="noConversion"/>
  </si>
  <si>
    <t>순   원  가</t>
    <phoneticPr fontId="3" type="noConversion"/>
  </si>
  <si>
    <t xml:space="preserve"> 사업소세</t>
    <phoneticPr fontId="3" type="noConversion"/>
  </si>
  <si>
    <t>시간외근무시간:</t>
    <phoneticPr fontId="3" type="noConversion"/>
  </si>
  <si>
    <t xml:space="preserve"> 인건비+경비</t>
    <phoneticPr fontId="3" type="noConversion"/>
  </si>
  <si>
    <t xml:space="preserve">휴게시간 </t>
    <phoneticPr fontId="3" type="noConversion"/>
  </si>
  <si>
    <t>경
비</t>
    <phoneticPr fontId="3" type="noConversion"/>
  </si>
  <si>
    <t xml:space="preserve"> ((기본급/209)*8(7)*15)/12월</t>
    <phoneticPr fontId="3" type="noConversion"/>
  </si>
  <si>
    <t xml:space="preserve"> '16년 최저임금(6,030원 이상) 시급 * 209시간</t>
    <phoneticPr fontId="3" type="noConversion"/>
  </si>
  <si>
    <t>관리책임자</t>
    <phoneticPr fontId="3" type="noConversion"/>
  </si>
  <si>
    <t>12개월 분(백원단위 이하 절사)</t>
    <phoneticPr fontId="3" type="noConversion"/>
  </si>
  <si>
    <t>2016년 총 용역비</t>
    <phoneticPr fontId="3" type="noConversion"/>
  </si>
  <si>
    <t xml:space="preserve"> (기본급+제수당)*3.035%</t>
    <phoneticPr fontId="3" type="noConversion"/>
  </si>
  <si>
    <t xml:space="preserve"> (기본급+제수당)*3.035%</t>
    <phoneticPr fontId="3" type="noConversion"/>
  </si>
  <si>
    <t>시설관리자</t>
    <phoneticPr fontId="3" type="noConversion"/>
  </si>
  <si>
    <t xml:space="preserve"> 소장 : '16년 제조부문 노임단가 작업반장 범위내 시급 적용 * 209시간(가스 및 소방안전관리자 수당포함)
 팀원 : '16년 제조부문 노임단가 단순노무종사원 범위내 시급 적용 * 213시간</t>
    <phoneticPr fontId="3" type="noConversion"/>
  </si>
  <si>
    <t>용  역  비</t>
    <phoneticPr fontId="3" type="noConversion"/>
  </si>
  <si>
    <t>비   고</t>
    <phoneticPr fontId="3" type="noConversion"/>
  </si>
  <si>
    <t>(단위 : 원)</t>
    <phoneticPr fontId="3" type="noConversion"/>
  </si>
  <si>
    <t>백원단위이하절사</t>
    <phoneticPr fontId="3" type="noConversion"/>
  </si>
  <si>
    <t xml:space="preserve"> 휴일근무수당</t>
    <phoneticPr fontId="3" type="noConversion"/>
  </si>
  <si>
    <t>경
비</t>
    <phoneticPr fontId="3" type="noConversion"/>
  </si>
  <si>
    <t>산  출  근  거</t>
    <phoneticPr fontId="3" type="noConversion"/>
  </si>
  <si>
    <t>지방소득세</t>
    <phoneticPr fontId="3" type="noConversion"/>
  </si>
  <si>
    <t>기 업 이 윤</t>
    <phoneticPr fontId="3" type="noConversion"/>
  </si>
  <si>
    <t>부가가치세</t>
    <phoneticPr fontId="3" type="noConversion"/>
  </si>
  <si>
    <t>제
수
당</t>
    <phoneticPr fontId="3" type="noConversion"/>
  </si>
  <si>
    <t>인건비+경비</t>
  </si>
  <si>
    <t>청소</t>
    <phoneticPr fontId="3" type="noConversion"/>
  </si>
  <si>
    <t>청     소</t>
    <phoneticPr fontId="3" type="noConversion"/>
  </si>
  <si>
    <t>구    분</t>
    <phoneticPr fontId="3" type="noConversion"/>
  </si>
  <si>
    <t>합     계</t>
    <phoneticPr fontId="3" type="noConversion"/>
  </si>
  <si>
    <t>청소 용역 1명</t>
    <phoneticPr fontId="3" type="noConversion"/>
  </si>
  <si>
    <t>2021년 총 용역비</t>
    <phoneticPr fontId="3" type="noConversion"/>
  </si>
  <si>
    <t>월 근무시간</t>
  </si>
  <si>
    <t>근무형태</t>
  </si>
  <si>
    <t>주간</t>
  </si>
  <si>
    <t xml:space="preserve"> 건강보험</t>
    <phoneticPr fontId="3" type="noConversion"/>
  </si>
  <si>
    <t xml:space="preserve"> 고용보험</t>
    <phoneticPr fontId="3" type="noConversion"/>
  </si>
  <si>
    <t xml:space="preserve"> 산재보험</t>
    <phoneticPr fontId="3" type="noConversion"/>
  </si>
  <si>
    <t>외주비</t>
    <phoneticPr fontId="3" type="noConversion"/>
  </si>
  <si>
    <t xml:space="preserve"> (기본급+제수당)/12개월  □ 근로기준법 제34조 및 근로자퇴직급여 보장법 근거</t>
    <phoneticPr fontId="3" type="noConversion"/>
  </si>
  <si>
    <r>
      <t xml:space="preserve"> (기본급+제수당)×</t>
    </r>
    <r>
      <rPr>
        <sz val="9"/>
        <color rgb="FF0000FF"/>
        <rFont val="맑은 고딕"/>
        <family val="3"/>
        <charset val="129"/>
      </rPr>
      <t xml:space="preserve">4.5% </t>
    </r>
    <r>
      <rPr>
        <sz val="9"/>
        <rFont val="맑은 고딕"/>
        <family val="3"/>
        <charset val="129"/>
      </rPr>
      <t xml:space="preserve">□ 국민연금법 제88조 근거  </t>
    </r>
    <phoneticPr fontId="3" type="noConversion"/>
  </si>
  <si>
    <r>
      <t xml:space="preserve"> (기본급+제수당)×</t>
    </r>
    <r>
      <rPr>
        <sz val="9"/>
        <color rgb="FF0000FF"/>
        <rFont val="맑은 고딕"/>
        <family val="3"/>
        <charset val="129"/>
      </rPr>
      <t>3.495%</t>
    </r>
    <r>
      <rPr>
        <sz val="9"/>
        <rFont val="맑은 고딕"/>
        <family val="3"/>
        <charset val="129"/>
      </rPr>
      <t xml:space="preserve"> □ 국민건강보험법 제69조,제73조 근거</t>
    </r>
    <phoneticPr fontId="3" type="noConversion"/>
  </si>
  <si>
    <r>
      <t xml:space="preserve"> 건강보험료×</t>
    </r>
    <r>
      <rPr>
        <sz val="9"/>
        <color rgb="FF0000FF"/>
        <rFont val="맑은 고딕"/>
        <family val="3"/>
        <charset val="129"/>
      </rPr>
      <t>12.27%</t>
    </r>
    <r>
      <rPr>
        <sz val="9"/>
        <rFont val="맑은 고딕"/>
        <family val="3"/>
        <charset val="129"/>
      </rPr>
      <t xml:space="preserve">  □ 노인장기요양보험법 제9조 근거</t>
    </r>
    <phoneticPr fontId="3" type="noConversion"/>
  </si>
  <si>
    <r>
      <t xml:space="preserve"> (기본급+제수당)×</t>
    </r>
    <r>
      <rPr>
        <sz val="9"/>
        <color rgb="FF0000FF"/>
        <rFont val="맑은 고딕"/>
        <family val="3"/>
        <charset val="129"/>
      </rPr>
      <t xml:space="preserve">0.06% </t>
    </r>
    <r>
      <rPr>
        <sz val="9"/>
        <rFont val="맑은 고딕"/>
        <family val="3"/>
        <charset val="129"/>
      </rPr>
      <t xml:space="preserve"> □ 임금채권보장법 제9조 근거</t>
    </r>
    <phoneticPr fontId="3" type="noConversion"/>
  </si>
  <si>
    <t xml:space="preserve"> 1년 2차(동·하복) 및 외곽 작업요원의 방한복 1착
□ 한국건물위생관리협회 2021년(하반기) 건물위생관리업(청소) 표준도급비 산출기준 적용</t>
    <phoneticPr fontId="3" type="noConversion"/>
  </si>
  <si>
    <t xml:space="preserve"> 인건비×0.5%  □ 지방세법 제84조의 3 근거</t>
    <phoneticPr fontId="3" type="noConversion"/>
  </si>
  <si>
    <t xml:space="preserve"> (인건비+경비)×9%   *지방자치단체를 당사자로하는 계약에 관한 법률 시행규칙 제8조제1항제13호 근거</t>
    <phoneticPr fontId="3" type="noConversion"/>
  </si>
  <si>
    <t xml:space="preserve"> (인건비+경비+일반관리비)×10%  *지방자치단체를 당사자로하는 계약에 관한 법률 시행규칙 제8조제2항제4호 근거</t>
    <phoneticPr fontId="3" type="noConversion"/>
  </si>
  <si>
    <t xml:space="preserve"> 총도급비×10%  *부가가치세법 제30조 근거</t>
    <phoneticPr fontId="3" type="noConversion"/>
  </si>
  <si>
    <t>1인</t>
    <phoneticPr fontId="3" type="noConversion"/>
  </si>
  <si>
    <t>백원단위 이하절사</t>
    <phoneticPr fontId="3" type="noConversion"/>
  </si>
  <si>
    <t>청소 용역 1인 근무시간</t>
    <phoneticPr fontId="3" type="noConversion"/>
  </si>
  <si>
    <t>※ 산출기초 산정 : 인건비 + 경비 + 일반관리비 + 기업이윤 + 외주비 + 부가가치세</t>
  </si>
  <si>
    <t xml:space="preserve">                    2021년 하반기 건물위생관리용역 표준도급비 산출기준 내역서 단가 적용</t>
  </si>
  <si>
    <t xml:space="preserve"> - 경         비: 관련법률 보험료율 적용</t>
  </si>
  <si>
    <t xml:space="preserve"> - 일반관리비: 지방자치단체를 당사자로 하는 계약에 관한 법률 시행규칙 제8조 제1항 제13호 근거(9% 이내)</t>
  </si>
  <si>
    <t xml:space="preserve"> - 기 업 이 윤: 지방자치단체를 당사자로 하는 계약에 관한 법률 시행규칙 제8조 제2항 제4호 근거(10% 이내)</t>
  </si>
  <si>
    <t xml:space="preserve"> - 외   주   비: 2021년 용역업체 수행 금액 기준(물탱크 청소(수질검사 포함), 방역, 왁스 청소)</t>
  </si>
  <si>
    <t xml:space="preserve">2022년 광주콘텐츠창업보육센터 청소용역비 </t>
    <phoneticPr fontId="3" type="noConversion"/>
  </si>
  <si>
    <t>2022년 광주콘텐츠창업보육센터 청소 용역 내역서</t>
    <phoneticPr fontId="3" type="noConversion"/>
  </si>
  <si>
    <t xml:space="preserve"> (기본급/183)×연장근로시간×1.5</t>
    <phoneticPr fontId="3" type="noConversion"/>
  </si>
  <si>
    <t xml:space="preserve"> (기본급/183)×휴일근무시간×1.5</t>
    <phoneticPr fontId="3" type="noConversion"/>
  </si>
  <si>
    <t xml:space="preserve"> ((기본급/183)×7×26)/12개월   □ 근로기준법 제60조 근거</t>
    <phoneticPr fontId="3" type="noConversion"/>
  </si>
  <si>
    <t xml:space="preserve"> 240만원(1년 외주비)÷12개월
 - 물탱크 청소(수질검사 포함):40만원(20만원*2회), - 방역:120만원(10만원*12회), - 대청소:80만원(80만원*1회), </t>
    <phoneticPr fontId="3" type="noConversion"/>
  </si>
  <si>
    <r>
      <t xml:space="preserve">[일 급여]
 - 청소 : 2021년 </t>
    </r>
    <r>
      <rPr>
        <sz val="9"/>
        <color rgb="FF0000FF"/>
        <rFont val="맑은 고딕"/>
        <family val="3"/>
        <charset val="129"/>
      </rPr>
      <t>하반기</t>
    </r>
    <r>
      <rPr>
        <sz val="9"/>
        <color theme="1"/>
        <rFont val="맑은 고딕"/>
        <family val="3"/>
        <charset val="129"/>
      </rPr>
      <t xml:space="preserve"> 중소제조업 직종별 임금조사 보고서 단순노무종사원 노임단가 적용
[근무시간]
 - 청소 : 183시간 </t>
    </r>
    <phoneticPr fontId="3" type="noConversion"/>
  </si>
  <si>
    <t xml:space="preserve"> 1일 5,000×20일   □ 한국건물위생관리협회 2021년(하반기) 건물위생관리업(청소) 표준도급비 산출기준 적용</t>
    <phoneticPr fontId="3" type="noConversion"/>
  </si>
  <si>
    <t xml:space="preserve"> 연장근로수당</t>
    <phoneticPr fontId="3" type="noConversion"/>
  </si>
  <si>
    <t xml:space="preserve"> - 인   건   비: 2021년 하반기 중소제조업 직종별 임금조사 보고서 노임 적용</t>
    <phoneticPr fontId="3" type="noConversion"/>
  </si>
  <si>
    <r>
      <t xml:space="preserve"> (기본급+제수당)×</t>
    </r>
    <r>
      <rPr>
        <sz val="9"/>
        <color rgb="FF0000FF"/>
        <rFont val="맑은 고딕"/>
        <family val="3"/>
        <charset val="129"/>
      </rPr>
      <t>0.9%</t>
    </r>
    <r>
      <rPr>
        <sz val="9"/>
        <rFont val="맑은 고딕"/>
        <family val="3"/>
        <charset val="129"/>
      </rPr>
      <t xml:space="preserve">  □ 산업재해보상보험법 제4조 근거</t>
    </r>
    <phoneticPr fontId="3" type="noConversion"/>
  </si>
  <si>
    <r>
      <t xml:space="preserve"> (기본급+제수당)×</t>
    </r>
    <r>
      <rPr>
        <sz val="9"/>
        <color rgb="FF0000FF"/>
        <rFont val="맑은 고딕"/>
        <family val="3"/>
        <charset val="129"/>
      </rPr>
      <t>1.65%</t>
    </r>
    <r>
      <rPr>
        <sz val="9"/>
        <rFont val="맑은 고딕"/>
        <family val="3"/>
        <charset val="129"/>
      </rPr>
      <t xml:space="preserve">  □ 고용보험법 제6조 근거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</si>
</sst>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.000_-;\-* #,##0.000_-;_-* &quot;-&quot;???_-;_-@_-"/>
    <numFmt numFmtId="178" formatCode="#,##0_);[Red]\(#,##0\)"/>
    <numFmt numFmtId="179" formatCode="#,##0_ "/>
    <numFmt numFmtId="180" formatCode="0_ "/>
    <numFmt numFmtId="181" formatCode="&quot;₩&quot;#,##0"/>
    <numFmt numFmtId="182" formatCode="#,##0.0_ "/>
    <numFmt numFmtId="183" formatCode="#,##0_ ;[Red]\-#,##0\ "/>
    <numFmt numFmtId="184" formatCode="_ * #,##0_ ;_ * \-#,##0_ ;_ * &quot;-&quot;_ ;_ @_ "/>
    <numFmt numFmtId="185" formatCode="_ * #,##0.00_ ;_ * \-#,##0.00_ ;_ * &quot;-&quot;??_ ;_ @_ "/>
    <numFmt numFmtId="186" formatCode="0&quot;회&quot;&quot;차&quot;"/>
    <numFmt numFmtId="187" formatCode="_ * #,##0.00_ ;_ * &quot;₩&quot;&quot;₩&quot;&quot;₩&quot;&quot;₩&quot;&quot;₩&quot;&quot;₩&quot;&quot;₩&quot;&quot;₩&quot;&quot;₩&quot;&quot;₩&quot;&quot;₩&quot;&quot;₩&quot;&quot;₩&quot;&quot;₩&quot;&quot;₩&quot;\!\-#,##0.00_ ;_ * &quot;-&quot;??_ ;_ @_ 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b/>
      <sz val="20"/>
      <name val="굴림체"/>
      <family val="3"/>
      <charset val="129"/>
    </font>
    <font>
      <sz val="9"/>
      <name val="굴림체"/>
      <family val="3"/>
      <charset val="129"/>
    </font>
    <font>
      <sz val="10"/>
      <name val="돋움"/>
      <family val="3"/>
      <charset val="129"/>
    </font>
    <font>
      <b/>
      <sz val="18"/>
      <name val="HY울릉도M"/>
      <family val="1"/>
      <charset val="129"/>
    </font>
    <font>
      <sz val="11"/>
      <name val="HY울릉도M"/>
      <family val="1"/>
      <charset val="129"/>
    </font>
    <font>
      <sz val="10"/>
      <name val="HY울릉도M"/>
      <family val="1"/>
      <charset val="129"/>
    </font>
    <font>
      <sz val="11"/>
      <name val="맑은 고딕"/>
      <family val="3"/>
      <charset val="129"/>
    </font>
    <font>
      <sz val="18"/>
      <name val="HY견고딕"/>
      <family val="1"/>
      <charset val="129"/>
    </font>
    <font>
      <sz val="12"/>
      <name val="HY견고딕"/>
      <family val="1"/>
      <charset val="129"/>
    </font>
    <font>
      <sz val="16"/>
      <name val="HY견고딕"/>
      <family val="1"/>
      <charset val="129"/>
    </font>
    <font>
      <sz val="14"/>
      <name val="HY견고딕"/>
      <family val="1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맑은 고딕"/>
      <family val="3"/>
      <charset val="129"/>
    </font>
    <font>
      <sz val="20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4"/>
      <color rgb="FFFF0000"/>
      <name val="HY견고딕"/>
      <family val="1"/>
      <charset val="129"/>
    </font>
    <font>
      <sz val="11"/>
      <color rgb="FFFF0000"/>
      <name val="굴림체"/>
      <family val="3"/>
      <charset val="129"/>
    </font>
    <font>
      <sz val="11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rgb="FF0000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lightGray">
        <fgColor indexed="9"/>
        <bgColor rgb="FF92D050"/>
      </patternFill>
    </fill>
    <fill>
      <patternFill patternType="gray0625">
        <fgColor theme="0"/>
        <bgColor theme="6" tint="0.39991454817346722"/>
      </patternFill>
    </fill>
    <fill>
      <patternFill patternType="gray0625">
        <fgColor theme="0"/>
      </patternFill>
    </fill>
    <fill>
      <patternFill patternType="gray0625">
        <fgColor theme="0"/>
        <bgColor theme="0"/>
      </patternFill>
    </fill>
    <fill>
      <patternFill patternType="gray0625">
        <fgColor theme="0"/>
        <bgColor rgb="FFFFC000"/>
      </patternFill>
    </fill>
    <fill>
      <patternFill patternType="gray0625">
        <fgColor theme="0"/>
        <bgColor theme="0" tint="-0.14999847407452621"/>
      </patternFill>
    </fill>
    <fill>
      <patternFill patternType="gray0625">
        <fgColor theme="0"/>
        <bgColor theme="3" tint="0.59999389629810485"/>
      </patternFill>
    </fill>
    <fill>
      <patternFill patternType="gray0625">
        <fgColor theme="0"/>
        <bgColor theme="9" tint="0.59999389629810485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2">
    <xf numFmtId="0" fontId="0" fillId="0" borderId="0">
      <alignment vertical="center"/>
    </xf>
    <xf numFmtId="0" fontId="8" fillId="0" borderId="0"/>
    <xf numFmtId="187" fontId="8" fillId="0" borderId="0" applyFont="0" applyFill="0" applyBorder="0" applyAlignment="0" applyProtection="0">
      <alignment horizontal="right"/>
    </xf>
    <xf numFmtId="0" fontId="9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86" fontId="8" fillId="0" borderId="0"/>
    <xf numFmtId="176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3" fillId="0" borderId="0"/>
    <xf numFmtId="9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8" fillId="0" borderId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78" fontId="4" fillId="3" borderId="3" xfId="17" applyNumberFormat="1" applyFont="1" applyFill="1" applyBorder="1" applyAlignment="1">
      <alignment vertical="center"/>
    </xf>
    <xf numFmtId="178" fontId="4" fillId="0" borderId="3" xfId="17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41" fontId="4" fillId="3" borderId="3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right" vertical="center"/>
    </xf>
    <xf numFmtId="178" fontId="4" fillId="0" borderId="3" xfId="0" applyNumberFormat="1" applyFont="1" applyFill="1" applyBorder="1" applyAlignment="1">
      <alignment horizontal="right" vertical="center"/>
    </xf>
    <xf numFmtId="178" fontId="4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8" fontId="4" fillId="4" borderId="3" xfId="17" applyNumberFormat="1" applyFont="1" applyFill="1" applyBorder="1" applyAlignment="1">
      <alignment vertical="center"/>
    </xf>
    <xf numFmtId="178" fontId="4" fillId="4" borderId="3" xfId="0" applyNumberFormat="1" applyFont="1" applyFill="1" applyBorder="1" applyAlignment="1">
      <alignment horizontal="right" vertical="center"/>
    </xf>
    <xf numFmtId="41" fontId="4" fillId="4" borderId="3" xfId="17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0" fontId="4" fillId="0" borderId="0" xfId="57" applyFont="1"/>
    <xf numFmtId="0" fontId="4" fillId="0" borderId="0" xfId="57" applyFont="1" applyAlignment="1">
      <alignment vertical="center"/>
    </xf>
    <xf numFmtId="179" fontId="4" fillId="5" borderId="3" xfId="0" applyNumberFormat="1" applyFont="1" applyFill="1" applyBorder="1" applyAlignment="1">
      <alignment horizontal="left" vertical="center"/>
    </xf>
    <xf numFmtId="182" fontId="4" fillId="5" borderId="3" xfId="0" applyNumberFormat="1" applyFont="1" applyFill="1" applyBorder="1" applyAlignment="1">
      <alignment horizontal="left" vertical="center"/>
    </xf>
    <xf numFmtId="178" fontId="6" fillId="5" borderId="3" xfId="0" applyNumberFormat="1" applyFont="1" applyFill="1" applyBorder="1" applyAlignment="1">
      <alignment vertical="center"/>
    </xf>
    <xf numFmtId="178" fontId="4" fillId="6" borderId="3" xfId="17" applyNumberFormat="1" applyFont="1" applyFill="1" applyBorder="1" applyAlignment="1">
      <alignment vertical="center"/>
    </xf>
    <xf numFmtId="0" fontId="4" fillId="3" borderId="0" xfId="0" quotePrefix="1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10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178" fontId="4" fillId="9" borderId="3" xfId="17" applyNumberFormat="1" applyFont="1" applyFill="1" applyBorder="1" applyAlignment="1">
      <alignment vertical="center"/>
    </xf>
    <xf numFmtId="178" fontId="4" fillId="9" borderId="3" xfId="0" applyNumberFormat="1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left" vertical="center"/>
    </xf>
    <xf numFmtId="9" fontId="4" fillId="3" borderId="0" xfId="0" applyNumberFormat="1" applyFont="1" applyFill="1" applyAlignment="1">
      <alignment vertical="center"/>
    </xf>
    <xf numFmtId="178" fontId="4" fillId="3" borderId="0" xfId="0" applyNumberFormat="1" applyFont="1" applyFill="1" applyAlignment="1">
      <alignment horizontal="center" vertical="center"/>
    </xf>
    <xf numFmtId="43" fontId="4" fillId="0" borderId="0" xfId="57" applyNumberFormat="1" applyFont="1" applyAlignment="1">
      <alignment vertical="center"/>
    </xf>
    <xf numFmtId="41" fontId="4" fillId="3" borderId="0" xfId="17" applyFont="1" applyFill="1" applyAlignment="1">
      <alignment vertical="center"/>
    </xf>
    <xf numFmtId="41" fontId="4" fillId="3" borderId="0" xfId="0" applyNumberFormat="1" applyFont="1" applyFill="1" applyAlignment="1">
      <alignment vertical="center"/>
    </xf>
    <xf numFmtId="177" fontId="4" fillId="3" borderId="0" xfId="0" applyNumberFormat="1" applyFont="1" applyFill="1" applyAlignment="1">
      <alignment vertical="center"/>
    </xf>
    <xf numFmtId="41" fontId="4" fillId="3" borderId="3" xfId="17" applyNumberFormat="1" applyFont="1" applyFill="1" applyBorder="1" applyAlignment="1">
      <alignment vertical="center"/>
    </xf>
    <xf numFmtId="180" fontId="4" fillId="3" borderId="0" xfId="0" applyNumberFormat="1" applyFont="1" applyFill="1" applyAlignment="1">
      <alignment vertical="center"/>
    </xf>
    <xf numFmtId="178" fontId="4" fillId="3" borderId="0" xfId="0" applyNumberFormat="1" applyFont="1" applyFill="1" applyAlignment="1">
      <alignment vertical="center"/>
    </xf>
    <xf numFmtId="41" fontId="4" fillId="0" borderId="0" xfId="17" applyFont="1" applyAlignment="1"/>
    <xf numFmtId="178" fontId="4" fillId="0" borderId="0" xfId="0" applyNumberFormat="1" applyFont="1" applyAlignment="1">
      <alignment vertical="center"/>
    </xf>
    <xf numFmtId="41" fontId="4" fillId="3" borderId="0" xfId="17" applyFont="1" applyFill="1" applyBorder="1" applyAlignment="1">
      <alignment vertical="center"/>
    </xf>
    <xf numFmtId="41" fontId="4" fillId="3" borderId="0" xfId="17" applyFont="1" applyFill="1" applyAlignment="1">
      <alignment horizontal="center" vertical="center"/>
    </xf>
    <xf numFmtId="41" fontId="4" fillId="6" borderId="0" xfId="17" applyFont="1" applyFill="1" applyAlignment="1">
      <alignment vertical="center"/>
    </xf>
    <xf numFmtId="41" fontId="4" fillId="0" borderId="0" xfId="17" applyFont="1" applyAlignment="1">
      <alignment vertical="center"/>
    </xf>
    <xf numFmtId="41" fontId="4" fillId="0" borderId="0" xfId="17" applyFont="1" applyAlignment="1">
      <alignment horizontal="center" vertical="center"/>
    </xf>
    <xf numFmtId="41" fontId="4" fillId="0" borderId="0" xfId="17" applyFont="1">
      <alignment vertical="center"/>
    </xf>
    <xf numFmtId="43" fontId="4" fillId="3" borderId="0" xfId="0" applyNumberFormat="1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178" fontId="4" fillId="9" borderId="3" xfId="17" applyNumberFormat="1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41" fontId="4" fillId="0" borderId="0" xfId="57" applyNumberFormat="1" applyFont="1" applyAlignment="1">
      <alignment vertical="center"/>
    </xf>
    <xf numFmtId="0" fontId="6" fillId="8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78" fontId="6" fillId="7" borderId="7" xfId="0" applyNumberFormat="1" applyFont="1" applyFill="1" applyBorder="1" applyAlignment="1">
      <alignment vertical="center"/>
    </xf>
    <xf numFmtId="0" fontId="18" fillId="0" borderId="0" xfId="57" applyFont="1" applyAlignment="1">
      <alignment horizontal="center" vertical="center"/>
    </xf>
    <xf numFmtId="0" fontId="19" fillId="0" borderId="0" xfId="57" applyFont="1" applyAlignment="1">
      <alignment vertical="center"/>
    </xf>
    <xf numFmtId="0" fontId="20" fillId="0" borderId="0" xfId="57" applyFont="1" applyAlignment="1">
      <alignment horizontal="right" vertical="center"/>
    </xf>
    <xf numFmtId="0" fontId="23" fillId="0" borderId="3" xfId="57" applyFont="1" applyBorder="1" applyAlignment="1">
      <alignment horizontal="center" vertical="center" wrapText="1"/>
    </xf>
    <xf numFmtId="0" fontId="23" fillId="0" borderId="3" xfId="57" applyFont="1" applyBorder="1" applyAlignment="1">
      <alignment horizontal="center" vertical="center"/>
    </xf>
    <xf numFmtId="181" fontId="24" fillId="10" borderId="9" xfId="57" applyNumberFormat="1" applyFont="1" applyFill="1" applyBorder="1" applyAlignment="1">
      <alignment horizontal="center" vertical="center"/>
    </xf>
    <xf numFmtId="183" fontId="25" fillId="0" borderId="3" xfId="57" applyNumberFormat="1" applyFont="1" applyBorder="1" applyAlignment="1">
      <alignment horizontal="center" vertical="center"/>
    </xf>
    <xf numFmtId="0" fontId="23" fillId="0" borderId="0" xfId="57" applyFont="1" applyAlignment="1">
      <alignment horizontal="right" vertical="center"/>
    </xf>
    <xf numFmtId="0" fontId="27" fillId="11" borderId="9" xfId="0" applyFont="1" applyFill="1" applyBorder="1" applyAlignment="1">
      <alignment horizontal="center" vertical="center"/>
    </xf>
    <xf numFmtId="178" fontId="21" fillId="12" borderId="3" xfId="17" applyNumberFormat="1" applyFont="1" applyFill="1" applyBorder="1" applyAlignment="1">
      <alignment vertical="center"/>
    </xf>
    <xf numFmtId="178" fontId="21" fillId="13" borderId="3" xfId="17" applyNumberFormat="1" applyFont="1" applyFill="1" applyBorder="1" applyAlignment="1">
      <alignment vertical="center"/>
    </xf>
    <xf numFmtId="178" fontId="21" fillId="12" borderId="5" xfId="17" applyNumberFormat="1" applyFont="1" applyFill="1" applyBorder="1" applyAlignment="1">
      <alignment vertical="center"/>
    </xf>
    <xf numFmtId="178" fontId="27" fillId="15" borderId="3" xfId="17" applyNumberFormat="1" applyFont="1" applyFill="1" applyBorder="1" applyAlignment="1">
      <alignment vertical="center"/>
    </xf>
    <xf numFmtId="0" fontId="21" fillId="12" borderId="7" xfId="0" applyFont="1" applyFill="1" applyBorder="1" applyAlignment="1">
      <alignment vertical="center" wrapText="1"/>
    </xf>
    <xf numFmtId="41" fontId="27" fillId="16" borderId="3" xfId="17" applyFont="1" applyFill="1" applyBorder="1" applyAlignment="1">
      <alignment horizontal="center" vertical="center"/>
    </xf>
    <xf numFmtId="178" fontId="27" fillId="16" borderId="3" xfId="17" applyNumberFormat="1" applyFont="1" applyFill="1" applyBorder="1" applyAlignment="1">
      <alignment vertical="center"/>
    </xf>
    <xf numFmtId="0" fontId="21" fillId="12" borderId="7" xfId="0" applyFont="1" applyFill="1" applyBorder="1" applyAlignment="1">
      <alignment vertical="center"/>
    </xf>
    <xf numFmtId="178" fontId="26" fillId="14" borderId="7" xfId="0" applyNumberFormat="1" applyFont="1" applyFill="1" applyBorder="1" applyAlignment="1">
      <alignment vertical="center"/>
    </xf>
    <xf numFmtId="0" fontId="26" fillId="11" borderId="3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left" vertical="center" wrapText="1"/>
    </xf>
    <xf numFmtId="41" fontId="32" fillId="0" borderId="3" xfId="17" applyFont="1" applyBorder="1" applyAlignment="1">
      <alignment horizontal="center" vertical="center"/>
    </xf>
    <xf numFmtId="178" fontId="26" fillId="17" borderId="3" xfId="0" applyNumberFormat="1" applyFont="1" applyFill="1" applyBorder="1" applyAlignment="1">
      <alignment vertical="center"/>
    </xf>
    <xf numFmtId="0" fontId="31" fillId="12" borderId="5" xfId="0" quotePrefix="1" applyFont="1" applyFill="1" applyBorder="1" applyAlignment="1">
      <alignment horizontal="left" vertical="center" wrapText="1"/>
    </xf>
    <xf numFmtId="0" fontId="33" fillId="3" borderId="0" xfId="0" applyFont="1" applyFill="1" applyAlignment="1">
      <alignment vertical="center"/>
    </xf>
    <xf numFmtId="41" fontId="37" fillId="16" borderId="3" xfId="17" applyFont="1" applyFill="1" applyBorder="1" applyAlignment="1">
      <alignment horizontal="center" vertical="center"/>
    </xf>
    <xf numFmtId="41" fontId="28" fillId="12" borderId="3" xfId="0" applyNumberFormat="1" applyFont="1" applyFill="1" applyBorder="1" applyAlignment="1">
      <alignment horizontal="left" vertical="center"/>
    </xf>
    <xf numFmtId="41" fontId="28" fillId="16" borderId="3" xfId="0" applyNumberFormat="1" applyFont="1" applyFill="1" applyBorder="1" applyAlignment="1">
      <alignment horizontal="center" vertical="center"/>
    </xf>
    <xf numFmtId="41" fontId="28" fillId="17" borderId="3" xfId="17" applyFont="1" applyFill="1" applyBorder="1" applyAlignment="1">
      <alignment horizontal="left" vertical="center"/>
    </xf>
    <xf numFmtId="41" fontId="38" fillId="14" borderId="3" xfId="17" applyFont="1" applyFill="1" applyBorder="1" applyAlignment="1">
      <alignment horizontal="left" vertical="center"/>
    </xf>
    <xf numFmtId="176" fontId="28" fillId="12" borderId="3" xfId="0" applyNumberFormat="1" applyFont="1" applyFill="1" applyBorder="1" applyAlignment="1">
      <alignment horizontal="left" vertical="center" wrapText="1"/>
    </xf>
    <xf numFmtId="41" fontId="21" fillId="12" borderId="3" xfId="17" applyNumberFormat="1" applyFont="1" applyFill="1" applyBorder="1" applyAlignment="1">
      <alignment horizontal="right" vertical="center"/>
    </xf>
    <xf numFmtId="41" fontId="4" fillId="3" borderId="0" xfId="17" applyFont="1" applyFill="1" applyAlignment="1">
      <alignment vertical="center"/>
    </xf>
    <xf numFmtId="178" fontId="4" fillId="3" borderId="0" xfId="0" applyNumberFormat="1" applyFont="1" applyFill="1" applyAlignment="1">
      <alignment vertical="center"/>
    </xf>
    <xf numFmtId="4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6" fillId="3" borderId="3" xfId="0" applyFont="1" applyFill="1" applyBorder="1" applyAlignment="1">
      <alignment horizontal="center" vertical="center"/>
    </xf>
    <xf numFmtId="180" fontId="16" fillId="3" borderId="3" xfId="0" applyNumberFormat="1" applyFont="1" applyFill="1" applyBorder="1" applyAlignment="1">
      <alignment horizontal="center" vertical="center"/>
    </xf>
    <xf numFmtId="176" fontId="28" fillId="12" borderId="3" xfId="0" applyNumberFormat="1" applyFont="1" applyFill="1" applyBorder="1" applyAlignment="1">
      <alignment horizontal="left" vertical="center"/>
    </xf>
    <xf numFmtId="41" fontId="28" fillId="16" borderId="3" xfId="17" applyFont="1" applyFill="1" applyBorder="1" applyAlignment="1">
      <alignment horizontal="left" vertical="center"/>
    </xf>
    <xf numFmtId="10" fontId="28" fillId="12" borderId="3" xfId="0" applyNumberFormat="1" applyFont="1" applyFill="1" applyBorder="1" applyAlignment="1">
      <alignment horizontal="left" vertical="center"/>
    </xf>
    <xf numFmtId="0" fontId="28" fillId="12" borderId="3" xfId="0" applyFont="1" applyFill="1" applyBorder="1" applyAlignment="1">
      <alignment horizontal="left" vertical="center"/>
    </xf>
    <xf numFmtId="0" fontId="28" fillId="15" borderId="3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left" vertical="center" wrapText="1"/>
    </xf>
    <xf numFmtId="0" fontId="39" fillId="0" borderId="0" xfId="57" applyFont="1" applyAlignment="1"/>
    <xf numFmtId="0" fontId="39" fillId="0" borderId="0" xfId="57" applyFont="1" applyBorder="1" applyAlignment="1"/>
    <xf numFmtId="0" fontId="39" fillId="0" borderId="0" xfId="57" applyFont="1"/>
    <xf numFmtId="41" fontId="39" fillId="0" borderId="0" xfId="57" applyNumberFormat="1" applyFont="1"/>
    <xf numFmtId="0" fontId="39" fillId="0" borderId="0" xfId="57" applyFont="1" applyBorder="1"/>
    <xf numFmtId="0" fontId="35" fillId="0" borderId="0" xfId="0" applyFont="1">
      <alignment vertical="center"/>
    </xf>
    <xf numFmtId="180" fontId="4" fillId="0" borderId="0" xfId="0" applyNumberFormat="1" applyFont="1" applyAlignment="1">
      <alignment vertical="center"/>
    </xf>
    <xf numFmtId="0" fontId="21" fillId="13" borderId="7" xfId="0" applyFont="1" applyFill="1" applyBorder="1" applyAlignment="1">
      <alignment vertical="center"/>
    </xf>
    <xf numFmtId="0" fontId="22" fillId="0" borderId="0" xfId="57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1" fontId="15" fillId="3" borderId="0" xfId="17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21" fillId="12" borderId="7" xfId="0" applyFont="1" applyFill="1" applyBorder="1" applyAlignment="1">
      <alignment horizontal="left" vertical="center"/>
    </xf>
    <xf numFmtId="0" fontId="21" fillId="12" borderId="10" xfId="0" applyFont="1" applyFill="1" applyBorder="1" applyAlignment="1">
      <alignment horizontal="left" vertical="center"/>
    </xf>
    <xf numFmtId="0" fontId="27" fillId="15" borderId="2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12" borderId="15" xfId="0" applyFont="1" applyFill="1" applyBorder="1" applyAlignment="1">
      <alignment horizontal="center" vertical="center" wrapText="1"/>
    </xf>
    <xf numFmtId="0" fontId="27" fillId="12" borderId="5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left" vertical="center"/>
    </xf>
    <xf numFmtId="0" fontId="21" fillId="12" borderId="18" xfId="0" applyFont="1" applyFill="1" applyBorder="1" applyAlignment="1">
      <alignment horizontal="left" vertical="center"/>
    </xf>
    <xf numFmtId="0" fontId="21" fillId="12" borderId="6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41" fontId="29" fillId="3" borderId="0" xfId="17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10" xfId="0" applyFont="1" applyFill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1" fillId="11" borderId="11" xfId="0" applyFont="1" applyFill="1" applyBorder="1">
      <alignment vertical="center"/>
    </xf>
    <xf numFmtId="0" fontId="27" fillId="11" borderId="12" xfId="0" applyFont="1" applyFill="1" applyBorder="1" applyAlignment="1">
      <alignment horizontal="center" vertical="center"/>
    </xf>
    <xf numFmtId="0" fontId="21" fillId="11" borderId="13" xfId="0" applyFont="1" applyFill="1" applyBorder="1">
      <alignment vertical="center"/>
    </xf>
    <xf numFmtId="0" fontId="21" fillId="11" borderId="14" xfId="0" applyFont="1" applyFill="1" applyBorder="1">
      <alignment vertical="center"/>
    </xf>
    <xf numFmtId="0" fontId="26" fillId="17" borderId="3" xfId="0" applyFont="1" applyFill="1" applyBorder="1" applyAlignment="1">
      <alignment horizontal="center" vertical="center"/>
    </xf>
    <xf numFmtId="0" fontId="26" fillId="14" borderId="3" xfId="0" applyFont="1" applyFill="1" applyBorder="1" applyAlignment="1">
      <alignment horizontal="center" vertical="center"/>
    </xf>
    <xf numFmtId="41" fontId="21" fillId="12" borderId="7" xfId="17" applyFont="1" applyFill="1" applyBorder="1" applyAlignment="1">
      <alignment horizontal="left" vertical="center"/>
    </xf>
    <xf numFmtId="41" fontId="21" fillId="12" borderId="10" xfId="17" applyFont="1" applyFill="1" applyBorder="1" applyAlignment="1">
      <alignment horizontal="left" vertical="center"/>
    </xf>
    <xf numFmtId="0" fontId="27" fillId="16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 wrapText="1"/>
    </xf>
    <xf numFmtId="0" fontId="26" fillId="12" borderId="7" xfId="0" applyFont="1" applyFill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7" fillId="16" borderId="7" xfId="0" applyFont="1" applyFill="1" applyBorder="1" applyAlignment="1">
      <alignment horizontal="center" vertical="center"/>
    </xf>
    <xf numFmtId="0" fontId="27" fillId="16" borderId="2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178" fontId="6" fillId="7" borderId="2" xfId="0" applyNumberFormat="1" applyFont="1" applyFill="1" applyBorder="1" applyAlignment="1">
      <alignment horizontal="center" vertical="center"/>
    </xf>
    <xf numFmtId="178" fontId="6" fillId="7" borderId="10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</cellXfs>
  <cellStyles count="72">
    <cellStyle name="??&amp;O?&amp;H?_x0008_??_x0007__x0001__x0001_" xfId="1"/>
    <cellStyle name="blank" xfId="2"/>
    <cellStyle name="category" xfId="3"/>
    <cellStyle name="Comma [0]" xfId="4"/>
    <cellStyle name="Currency [0]" xfId="5"/>
    <cellStyle name="Grey" xfId="6"/>
    <cellStyle name="HEADER" xfId="7"/>
    <cellStyle name="Header1" xfId="8"/>
    <cellStyle name="Header2" xfId="9"/>
    <cellStyle name="Input [yellow]" xfId="10"/>
    <cellStyle name="Model" xfId="11"/>
    <cellStyle name="Normal - Style1" xfId="12"/>
    <cellStyle name="Percent (0)" xfId="13"/>
    <cellStyle name="Percent [2]" xfId="14"/>
    <cellStyle name="subhead" xfId="15"/>
    <cellStyle name="백분율 2" xfId="16"/>
    <cellStyle name="쉼표 [0]" xfId="17" builtinId="6"/>
    <cellStyle name="쉼표 [0] 2" xfId="18"/>
    <cellStyle name="쉼표 [0] 2 2" xfId="59"/>
    <cellStyle name="쉼표 [0] 3" xfId="19"/>
    <cellStyle name="쉼표 [0] 3 2" xfId="60"/>
    <cellStyle name="쉼표 [0] 4" xfId="20"/>
    <cellStyle name="쉼표 [0] 4 2" xfId="61"/>
    <cellStyle name="쉼표 [0] 5" xfId="21"/>
    <cellStyle name="쉼표 [0] 5 2" xfId="62"/>
    <cellStyle name="쉼표 [0] 6" xfId="58"/>
    <cellStyle name="쉼표 [0] 6 2" xfId="66"/>
    <cellStyle name="쉼표 [0] 6 3" xfId="70"/>
    <cellStyle name="쉼표 [0] 6 4" xfId="71"/>
    <cellStyle name="쉼표 [0] 7" xfId="67"/>
    <cellStyle name="지정되지 않음" xfId="22"/>
    <cellStyle name="콤마 [0]_10월2주 " xfId="23"/>
    <cellStyle name="콤마_10월2주 " xfId="24"/>
    <cellStyle name="통화 [0] 2" xfId="25"/>
    <cellStyle name="통화 [0] 2 2" xfId="63"/>
    <cellStyle name="통화 [0] 3" xfId="26"/>
    <cellStyle name="통화 [0] 3 2" xfId="64"/>
    <cellStyle name="표준" xfId="0" builtinId="0"/>
    <cellStyle name="표준 10" xfId="27"/>
    <cellStyle name="표준 11" xfId="28"/>
    <cellStyle name="표준 12" xfId="29"/>
    <cellStyle name="표준 13" xfId="30"/>
    <cellStyle name="표준 14" xfId="31"/>
    <cellStyle name="표준 15" xfId="32"/>
    <cellStyle name="표준 16" xfId="33"/>
    <cellStyle name="표준 17" xfId="34"/>
    <cellStyle name="표준 18" xfId="35"/>
    <cellStyle name="표준 19" xfId="65"/>
    <cellStyle name="표준 19 2" xfId="69"/>
    <cellStyle name="표준 2" xfId="36"/>
    <cellStyle name="표준 2 10" xfId="37"/>
    <cellStyle name="표준 2 11" xfId="38"/>
    <cellStyle name="표준 2 12" xfId="39"/>
    <cellStyle name="표준 2 13" xfId="40"/>
    <cellStyle name="표준 2 14" xfId="41"/>
    <cellStyle name="표준 2 15" xfId="68"/>
    <cellStyle name="표준 2 2" xfId="42"/>
    <cellStyle name="표준 2 3" xfId="43"/>
    <cellStyle name="표준 2 4" xfId="44"/>
    <cellStyle name="표준 2 5" xfId="45"/>
    <cellStyle name="표준 2 6" xfId="46"/>
    <cellStyle name="표준 2 7" xfId="47"/>
    <cellStyle name="표준 2 8" xfId="48"/>
    <cellStyle name="표준 2 9" xfId="49"/>
    <cellStyle name="표준 3" xfId="50"/>
    <cellStyle name="표준 4" xfId="51"/>
    <cellStyle name="표준 5" xfId="52"/>
    <cellStyle name="표준 6" xfId="53"/>
    <cellStyle name="표준 7" xfId="54"/>
    <cellStyle name="표준 8" xfId="55"/>
    <cellStyle name="표준 9" xfId="56"/>
    <cellStyle name="표준_이오정보통신" xfId="5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tabSelected="1" view="pageBreakPreview" zoomScale="115" zoomScaleSheetLayoutView="115" workbookViewId="0">
      <selection sqref="A1:C1"/>
    </sheetView>
  </sheetViews>
  <sheetFormatPr defaultRowHeight="13.5"/>
  <cols>
    <col min="1" max="1" width="27.77734375" style="18" customWidth="1"/>
    <col min="2" max="2" width="24.77734375" style="18" customWidth="1"/>
    <col min="3" max="3" width="24.33203125" style="18" customWidth="1"/>
    <col min="4" max="4" width="16.109375" style="18" bestFit="1" customWidth="1"/>
    <col min="5" max="5" width="16.109375" style="18" hidden="1" customWidth="1"/>
    <col min="6" max="6" width="17.33203125" style="18" customWidth="1"/>
    <col min="7" max="16384" width="8.88671875" style="18"/>
  </cols>
  <sheetData>
    <row r="1" spans="1:6" s="19" customFormat="1" ht="68.25" customHeight="1">
      <c r="A1" s="122" t="s">
        <v>132</v>
      </c>
      <c r="B1" s="122"/>
      <c r="C1" s="122"/>
      <c r="E1" s="19">
        <f>300187870/341923000</f>
        <v>0.87793997478964558</v>
      </c>
    </row>
    <row r="2" spans="1:6" s="19" customFormat="1" ht="18.75" customHeight="1">
      <c r="A2" s="71"/>
      <c r="B2" s="71"/>
      <c r="C2" s="72"/>
    </row>
    <row r="3" spans="1:6" s="19" customFormat="1" ht="25.5" customHeight="1">
      <c r="A3" s="72"/>
      <c r="B3" s="73"/>
      <c r="C3" s="78" t="s">
        <v>90</v>
      </c>
    </row>
    <row r="4" spans="1:6" s="19" customFormat="1" ht="57" customHeight="1" thickBot="1">
      <c r="A4" s="76" t="s">
        <v>102</v>
      </c>
      <c r="B4" s="76" t="s">
        <v>88</v>
      </c>
      <c r="C4" s="76" t="s">
        <v>89</v>
      </c>
    </row>
    <row r="5" spans="1:6" s="19" customFormat="1" ht="57" customHeight="1" thickTop="1">
      <c r="A5" s="77" t="s">
        <v>101</v>
      </c>
      <c r="B5" s="91">
        <f>+창업보육센터_청소1인!D29</f>
        <v>0</v>
      </c>
      <c r="C5" s="74" t="s">
        <v>104</v>
      </c>
      <c r="F5" s="67"/>
    </row>
    <row r="6" spans="1:6" s="19" customFormat="1" ht="57" customHeight="1">
      <c r="A6" s="77" t="s">
        <v>103</v>
      </c>
      <c r="B6" s="91">
        <f>B5</f>
        <v>0</v>
      </c>
      <c r="C6" s="75" t="s">
        <v>91</v>
      </c>
      <c r="D6" s="40"/>
      <c r="E6" s="40"/>
    </row>
    <row r="7" spans="1:6">
      <c r="B7" s="47"/>
      <c r="C7" s="47"/>
    </row>
    <row r="8" spans="1:6" ht="14.25">
      <c r="A8" s="118" t="s">
        <v>126</v>
      </c>
      <c r="B8" s="117"/>
      <c r="C8" s="116"/>
      <c r="D8" s="119"/>
    </row>
    <row r="9" spans="1:6" ht="21.75" customHeight="1">
      <c r="A9" s="118" t="s">
        <v>141</v>
      </c>
      <c r="B9" s="116"/>
      <c r="C9" s="116"/>
      <c r="D9" s="119"/>
    </row>
    <row r="10" spans="1:6" ht="21.75" customHeight="1">
      <c r="A10" s="118" t="s">
        <v>127</v>
      </c>
      <c r="B10" s="116"/>
      <c r="C10" s="116"/>
      <c r="D10" s="119"/>
    </row>
    <row r="11" spans="1:6" ht="21.75" customHeight="1">
      <c r="A11" s="118" t="s">
        <v>128</v>
      </c>
      <c r="B11" s="116"/>
      <c r="C11" s="116"/>
      <c r="D11" s="119"/>
    </row>
    <row r="12" spans="1:6" ht="21.75" customHeight="1">
      <c r="A12" s="118" t="s">
        <v>129</v>
      </c>
      <c r="B12" s="116"/>
      <c r="C12" s="116"/>
      <c r="D12" s="119"/>
    </row>
    <row r="13" spans="1:6" ht="21.75" customHeight="1">
      <c r="A13" s="115" t="s">
        <v>130</v>
      </c>
      <c r="B13" s="114"/>
      <c r="C13" s="114"/>
      <c r="D13" s="119"/>
    </row>
    <row r="14" spans="1:6" ht="14.25">
      <c r="A14" s="115" t="s">
        <v>131</v>
      </c>
      <c r="B14" s="114"/>
      <c r="C14" s="114"/>
      <c r="D14" s="119"/>
    </row>
  </sheetData>
  <mergeCells count="1">
    <mergeCell ref="A1:C1"/>
  </mergeCells>
  <phoneticPr fontId="3" type="noConversion"/>
  <printOptions horizontalCentered="1"/>
  <pageMargins left="0.5" right="0.48" top="1.2204724409448819" bottom="0.59055118110236227" header="0.47244094488188981" footer="0.4724409448818898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41"/>
  <sheetViews>
    <sheetView view="pageBreakPreview" topLeftCell="A7" zoomScaleNormal="85" zoomScaleSheetLayoutView="100" workbookViewId="0">
      <selection activeCell="I19" sqref="I19"/>
    </sheetView>
  </sheetViews>
  <sheetFormatPr defaultColWidth="8.88671875" defaultRowHeight="13.5"/>
  <cols>
    <col min="1" max="1" width="7.5546875" style="1" customWidth="1"/>
    <col min="2" max="2" width="4.44140625" style="1" customWidth="1"/>
    <col min="3" max="3" width="17.44140625" style="1" customWidth="1"/>
    <col min="4" max="4" width="12.6640625" style="1" hidden="1" customWidth="1"/>
    <col min="5" max="5" width="14.88671875" style="1" customWidth="1"/>
    <col min="6" max="6" width="67.77734375" style="2" customWidth="1"/>
    <col min="7" max="7" width="10.5546875" style="1" customWidth="1"/>
    <col min="8" max="8" width="14" style="1" customWidth="1"/>
    <col min="9" max="9" width="14.5546875" style="1" customWidth="1"/>
    <col min="10" max="10" width="13.21875" style="1" customWidth="1"/>
    <col min="11" max="11" width="12.21875" style="1" bestFit="1" customWidth="1"/>
    <col min="12" max="16384" width="8.88671875" style="1"/>
  </cols>
  <sheetData>
    <row r="1" spans="1:13" s="3" customFormat="1" ht="39.950000000000003" customHeight="1">
      <c r="A1" s="145" t="s">
        <v>37</v>
      </c>
      <c r="B1" s="145"/>
      <c r="C1" s="145"/>
      <c r="D1" s="145"/>
      <c r="E1" s="145"/>
      <c r="F1" s="145"/>
      <c r="H1" s="45">
        <f>'청소 용역비'!E1</f>
        <v>0.87793997478964558</v>
      </c>
    </row>
    <row r="2" spans="1:13" s="3" customFormat="1" ht="25.5" customHeight="1">
      <c r="A2" s="146" t="s">
        <v>15</v>
      </c>
      <c r="B2" s="146"/>
      <c r="C2" s="146"/>
      <c r="D2" s="146"/>
      <c r="E2" s="146"/>
      <c r="F2" s="146"/>
    </row>
    <row r="3" spans="1:13" s="4" customFormat="1" ht="25.5" customHeight="1">
      <c r="A3" s="147" t="s">
        <v>11</v>
      </c>
      <c r="B3" s="147"/>
      <c r="C3" s="147"/>
      <c r="D3" s="68" t="s">
        <v>81</v>
      </c>
      <c r="E3" s="68" t="s">
        <v>86</v>
      </c>
      <c r="F3" s="148" t="s">
        <v>34</v>
      </c>
    </row>
    <row r="4" spans="1:13" s="4" customFormat="1" ht="25.5" customHeight="1">
      <c r="A4" s="147" t="s">
        <v>13</v>
      </c>
      <c r="B4" s="147"/>
      <c r="C4" s="147"/>
      <c r="D4" s="68">
        <v>1</v>
      </c>
      <c r="E4" s="68">
        <v>3</v>
      </c>
      <c r="F4" s="148"/>
      <c r="H4" s="39"/>
    </row>
    <row r="5" spans="1:13" s="3" customFormat="1" ht="25.5" customHeight="1">
      <c r="A5" s="136" t="s">
        <v>17</v>
      </c>
      <c r="B5" s="139" t="s">
        <v>6</v>
      </c>
      <c r="C5" s="135"/>
      <c r="D5" s="5">
        <f>209*(94029*0.91/8)</f>
        <v>2235421.9387500002</v>
      </c>
      <c r="E5" s="5">
        <f>(66630*0.91/8)*213</f>
        <v>1614361.6125</v>
      </c>
      <c r="F5" s="30" t="s">
        <v>87</v>
      </c>
      <c r="H5" s="3" t="s">
        <v>40</v>
      </c>
      <c r="I5" s="3" t="s">
        <v>43</v>
      </c>
      <c r="J5" s="3" t="s">
        <v>41</v>
      </c>
      <c r="K5" s="3" t="s">
        <v>42</v>
      </c>
    </row>
    <row r="6" spans="1:13" s="3" customFormat="1" ht="25.5" customHeight="1">
      <c r="A6" s="138"/>
      <c r="B6" s="140" t="s">
        <v>19</v>
      </c>
      <c r="C6" s="28" t="s">
        <v>18</v>
      </c>
      <c r="D6" s="5">
        <f>(((D5/209)*1.5)*(0.5*5*4.33))</f>
        <v>173673.03220312501</v>
      </c>
      <c r="E6" s="44">
        <v>0</v>
      </c>
      <c r="F6" s="33" t="s">
        <v>45</v>
      </c>
      <c r="H6" s="3" t="s">
        <v>36</v>
      </c>
      <c r="I6" s="45">
        <v>209</v>
      </c>
      <c r="J6" s="3" t="s">
        <v>36</v>
      </c>
      <c r="K6" s="45">
        <f>((((24-3)*365)/12)/3)</f>
        <v>212.91666666666666</v>
      </c>
      <c r="L6" s="3" t="s">
        <v>77</v>
      </c>
      <c r="M6" s="3">
        <v>3</v>
      </c>
    </row>
    <row r="7" spans="1:13" s="3" customFormat="1" ht="25.5" customHeight="1">
      <c r="A7" s="138"/>
      <c r="B7" s="141"/>
      <c r="C7" s="28" t="s">
        <v>31</v>
      </c>
      <c r="D7" s="44">
        <v>0</v>
      </c>
      <c r="E7" s="44">
        <f>((E5/203)*0.5)*66</f>
        <v>262433.16853448277</v>
      </c>
      <c r="F7" s="33" t="s">
        <v>47</v>
      </c>
      <c r="H7" s="3" t="s">
        <v>75</v>
      </c>
      <c r="I7" s="45">
        <f>0.5*5*4.33</f>
        <v>10.824999999999999</v>
      </c>
      <c r="J7" s="3" t="s">
        <v>39</v>
      </c>
      <c r="K7" s="45">
        <f>(8-1.5)*365/12/3</f>
        <v>65.902777777777786</v>
      </c>
    </row>
    <row r="8" spans="1:13" s="3" customFormat="1" ht="25.5" customHeight="1">
      <c r="A8" s="138"/>
      <c r="B8" s="142"/>
      <c r="C8" s="29" t="s">
        <v>64</v>
      </c>
      <c r="D8" s="23">
        <f>((D5/209)*8)*(15/12)</f>
        <v>106957.98750000002</v>
      </c>
      <c r="E8" s="23">
        <f>((E5/213)*(21/3))*(15/12)</f>
        <v>66317.671875</v>
      </c>
      <c r="F8" s="33" t="s">
        <v>79</v>
      </c>
      <c r="H8" s="46"/>
      <c r="K8" s="45"/>
    </row>
    <row r="9" spans="1:13" s="3" customFormat="1" ht="25.5" customHeight="1">
      <c r="A9" s="138"/>
      <c r="B9" s="143" t="s">
        <v>7</v>
      </c>
      <c r="C9" s="144"/>
      <c r="D9" s="23">
        <f>SUM(D5:D8)/12</f>
        <v>209671.07987109374</v>
      </c>
      <c r="E9" s="23">
        <f>SUM(E5:E8)/12</f>
        <v>161926.03774245692</v>
      </c>
      <c r="F9" s="33" t="s">
        <v>44</v>
      </c>
      <c r="G9" s="46"/>
      <c r="H9" s="46"/>
      <c r="I9" s="41"/>
    </row>
    <row r="10" spans="1:13" s="3" customFormat="1" ht="25.5" customHeight="1">
      <c r="A10" s="137"/>
      <c r="B10" s="126" t="s">
        <v>20</v>
      </c>
      <c r="C10" s="127"/>
      <c r="D10" s="34">
        <f>SUM(D5:D9)</f>
        <v>2725724.0383242187</v>
      </c>
      <c r="E10" s="34">
        <f>SUM(E5:E9)</f>
        <v>2105038.49065194</v>
      </c>
      <c r="F10" s="36"/>
      <c r="H10" s="41"/>
      <c r="I10" s="41"/>
      <c r="J10" s="55"/>
    </row>
    <row r="11" spans="1:13" s="3" customFormat="1" ht="25.5" customHeight="1">
      <c r="A11" s="128" t="s">
        <v>78</v>
      </c>
      <c r="B11" s="134" t="s">
        <v>8</v>
      </c>
      <c r="C11" s="135"/>
      <c r="D11" s="5">
        <f>SUM(D5:D8)*4.5%</f>
        <v>113222.38313039062</v>
      </c>
      <c r="E11" s="5">
        <f>SUM(E5:E8)*4.5%</f>
        <v>87440.06038092672</v>
      </c>
      <c r="F11" s="31" t="s">
        <v>24</v>
      </c>
      <c r="H11" s="41"/>
      <c r="I11" s="49"/>
    </row>
    <row r="12" spans="1:13" s="3" customFormat="1" ht="25.5" customHeight="1">
      <c r="A12" s="128"/>
      <c r="B12" s="134" t="s">
        <v>9</v>
      </c>
      <c r="C12" s="135"/>
      <c r="D12" s="5">
        <f>SUM(D5:D8)*3.035%</f>
        <v>76362.207289052341</v>
      </c>
      <c r="E12" s="5">
        <f>SUM(E5:E8)*3.035%</f>
        <v>58973.462945802807</v>
      </c>
      <c r="F12" s="31" t="s">
        <v>84</v>
      </c>
      <c r="G12" s="46"/>
      <c r="H12" s="41"/>
      <c r="I12" s="41"/>
    </row>
    <row r="13" spans="1:13" s="3" customFormat="1" ht="25.5" customHeight="1">
      <c r="A13" s="128"/>
      <c r="B13" s="134" t="s">
        <v>0</v>
      </c>
      <c r="C13" s="135"/>
      <c r="D13" s="5">
        <f>SUM(D5:D8)*1.5%</f>
        <v>37740.794376796868</v>
      </c>
      <c r="E13" s="5">
        <f>SUM(E5:E8)*1.5%</f>
        <v>29146.686793642242</v>
      </c>
      <c r="F13" s="31" t="s">
        <v>25</v>
      </c>
      <c r="G13" s="46"/>
      <c r="H13" s="41"/>
      <c r="I13" s="41"/>
    </row>
    <row r="14" spans="1:13" s="3" customFormat="1" ht="25.5" customHeight="1">
      <c r="A14" s="128"/>
      <c r="B14" s="134" t="s">
        <v>1</v>
      </c>
      <c r="C14" s="135"/>
      <c r="D14" s="5">
        <f>SUM(D5:D8)*1.8%</f>
        <v>45288.953252156251</v>
      </c>
      <c r="E14" s="5">
        <f>SUM(E5:E8)*1.8%</f>
        <v>34976.024152370694</v>
      </c>
      <c r="F14" s="31" t="s">
        <v>26</v>
      </c>
      <c r="G14" s="46"/>
      <c r="H14" s="49">
        <v>345364</v>
      </c>
      <c r="I14" s="41"/>
    </row>
    <row r="15" spans="1:13" s="3" customFormat="1" ht="25.5" customHeight="1">
      <c r="A15" s="128"/>
      <c r="B15" s="134" t="s">
        <v>2</v>
      </c>
      <c r="C15" s="135"/>
      <c r="D15" s="5">
        <f>D12*6.55%</f>
        <v>5001.7245774329285</v>
      </c>
      <c r="E15" s="5">
        <f>E12*6.55%</f>
        <v>3862.761822950084</v>
      </c>
      <c r="F15" s="32" t="s">
        <v>23</v>
      </c>
      <c r="G15" s="46"/>
      <c r="H15" s="49"/>
      <c r="I15" s="49"/>
      <c r="J15" s="42"/>
    </row>
    <row r="16" spans="1:13" s="3" customFormat="1" ht="25.5" customHeight="1">
      <c r="A16" s="128"/>
      <c r="B16" s="134" t="s">
        <v>28</v>
      </c>
      <c r="C16" s="135"/>
      <c r="D16" s="5">
        <f>SUM(D5:D8)*0.08%</f>
        <v>2012.8423667625</v>
      </c>
      <c r="E16" s="5">
        <f>SUM(E5:E8)*0.08%</f>
        <v>1554.4899623275865</v>
      </c>
      <c r="F16" s="31" t="s">
        <v>27</v>
      </c>
      <c r="G16" s="46"/>
      <c r="H16" s="49"/>
      <c r="I16" s="49"/>
    </row>
    <row r="17" spans="1:9" s="3" customFormat="1" ht="25.5" customHeight="1">
      <c r="A17" s="128"/>
      <c r="B17" s="136" t="s">
        <v>48</v>
      </c>
      <c r="C17" s="66" t="s">
        <v>51</v>
      </c>
      <c r="D17" s="23">
        <v>9500</v>
      </c>
      <c r="E17" s="23">
        <v>9500</v>
      </c>
      <c r="F17" s="58" t="s">
        <v>49</v>
      </c>
      <c r="G17" s="46"/>
      <c r="H17" s="41"/>
      <c r="I17" s="49"/>
    </row>
    <row r="18" spans="1:9" s="3" customFormat="1" ht="25.5" customHeight="1">
      <c r="A18" s="128"/>
      <c r="B18" s="137"/>
      <c r="C18" s="66" t="s">
        <v>52</v>
      </c>
      <c r="D18" s="23">
        <v>115000</v>
      </c>
      <c r="E18" s="23">
        <v>115000</v>
      </c>
      <c r="F18" s="59" t="s">
        <v>50</v>
      </c>
      <c r="G18" s="46"/>
      <c r="H18" s="41"/>
      <c r="I18" s="49"/>
    </row>
    <row r="19" spans="1:9" s="3" customFormat="1" ht="25.5" customHeight="1">
      <c r="A19" s="128"/>
      <c r="B19" s="63"/>
      <c r="C19" s="56" t="s">
        <v>3</v>
      </c>
      <c r="D19" s="6">
        <f>D10*0.5%</f>
        <v>13628.620191621094</v>
      </c>
      <c r="E19" s="6">
        <f>E10*0.5%</f>
        <v>10525.1924532597</v>
      </c>
      <c r="F19" s="31" t="s">
        <v>30</v>
      </c>
      <c r="G19" s="46"/>
      <c r="H19" s="41"/>
      <c r="I19" s="49"/>
    </row>
    <row r="20" spans="1:9" s="3" customFormat="1" ht="25.5" customHeight="1">
      <c r="A20" s="128"/>
      <c r="B20" s="126" t="s">
        <v>20</v>
      </c>
      <c r="C20" s="127"/>
      <c r="D20" s="64">
        <f>SUM(D11:D19)</f>
        <v>417757.5251842126</v>
      </c>
      <c r="E20" s="64">
        <f>SUM(E11:E19)</f>
        <v>350978.67851127987</v>
      </c>
      <c r="F20" s="36"/>
      <c r="G20" s="46"/>
      <c r="H20" s="46"/>
      <c r="I20" s="42"/>
    </row>
    <row r="21" spans="1:9" s="3" customFormat="1" ht="25.5" customHeight="1">
      <c r="A21" s="125" t="s">
        <v>69</v>
      </c>
      <c r="B21" s="126"/>
      <c r="C21" s="127"/>
      <c r="D21" s="35">
        <f>D20+D10</f>
        <v>3143481.5635084314</v>
      </c>
      <c r="E21" s="35">
        <f>E20+E10</f>
        <v>2456017.1691632196</v>
      </c>
      <c r="F21" s="65" t="s">
        <v>76</v>
      </c>
    </row>
    <row r="22" spans="1:9" s="3" customFormat="1" ht="25.5" customHeight="1">
      <c r="A22" s="128" t="s">
        <v>4</v>
      </c>
      <c r="B22" s="128"/>
      <c r="C22" s="128"/>
      <c r="D22" s="5">
        <f>D21*5%</f>
        <v>157174.07817542157</v>
      </c>
      <c r="E22" s="5">
        <f>E21*5%</f>
        <v>122800.85845816099</v>
      </c>
      <c r="F22" s="37" t="s">
        <v>68</v>
      </c>
      <c r="G22" s="46"/>
      <c r="H22" s="41"/>
      <c r="I22" s="42"/>
    </row>
    <row r="23" spans="1:9" s="3" customFormat="1" ht="25.5" customHeight="1">
      <c r="A23" s="129" t="s">
        <v>16</v>
      </c>
      <c r="B23" s="130"/>
      <c r="C23" s="131"/>
      <c r="D23" s="5">
        <f>(D22+D21)*7%</f>
        <v>231045.89491786974</v>
      </c>
      <c r="E23" s="5">
        <f>(E22+E21)*7%</f>
        <v>180517.26193349666</v>
      </c>
      <c r="F23" s="37" t="s">
        <v>67</v>
      </c>
      <c r="G23" s="46"/>
      <c r="H23" s="41"/>
      <c r="I23" s="42"/>
    </row>
    <row r="24" spans="1:9" s="3" customFormat="1" ht="25.5" customHeight="1">
      <c r="A24" s="132" t="s">
        <v>71</v>
      </c>
      <c r="B24" s="132"/>
      <c r="C24" s="132"/>
      <c r="D24" s="14">
        <f>D23+D22+D21</f>
        <v>3531701.5366017227</v>
      </c>
      <c r="E24" s="14">
        <f>+E23+E22+E21</f>
        <v>2759335.2895548772</v>
      </c>
      <c r="F24" s="16"/>
      <c r="G24" s="46"/>
    </row>
    <row r="25" spans="1:9" s="3" customFormat="1" ht="25.5" customHeight="1">
      <c r="A25" s="133" t="s">
        <v>10</v>
      </c>
      <c r="B25" s="133"/>
      <c r="C25" s="133"/>
      <c r="D25" s="5">
        <f>D24*10%</f>
        <v>353170.15366017231</v>
      </c>
      <c r="E25" s="5">
        <f>E24*10%</f>
        <v>275933.52895548771</v>
      </c>
      <c r="F25" s="8"/>
      <c r="G25" s="46"/>
      <c r="I25" s="41">
        <f>D27*12</f>
        <v>46618460.283142738</v>
      </c>
    </row>
    <row r="26" spans="1:9" s="3" customFormat="1" ht="25.5" customHeight="1">
      <c r="A26" s="132" t="s">
        <v>12</v>
      </c>
      <c r="B26" s="132"/>
      <c r="C26" s="132"/>
      <c r="D26" s="14">
        <f>D25+D24</f>
        <v>3884871.6902618948</v>
      </c>
      <c r="E26" s="14">
        <f>E25+E24</f>
        <v>3035268.8185103647</v>
      </c>
      <c r="F26" s="17"/>
      <c r="G26" s="46"/>
      <c r="I26" s="42">
        <f>I25+H27</f>
        <v>155888137.74951586</v>
      </c>
    </row>
    <row r="27" spans="1:9" s="13" customFormat="1" ht="25.5" customHeight="1">
      <c r="A27" s="123" t="s">
        <v>14</v>
      </c>
      <c r="B27" s="123"/>
      <c r="C27" s="123"/>
      <c r="D27" s="22">
        <f>D26</f>
        <v>3884871.6902618948</v>
      </c>
      <c r="E27" s="22">
        <f>E26*3</f>
        <v>9105806.4555310942</v>
      </c>
      <c r="F27" s="21"/>
      <c r="G27" s="48"/>
      <c r="H27" s="52">
        <f>E27*12</f>
        <v>109269677.46637313</v>
      </c>
    </row>
    <row r="28" spans="1:9" s="13" customFormat="1" ht="25.5" customHeight="1">
      <c r="A28" s="124" t="s">
        <v>83</v>
      </c>
      <c r="B28" s="124"/>
      <c r="C28" s="124"/>
      <c r="D28" s="70"/>
      <c r="E28" s="70">
        <f>ROUNDDOWN((E27)*12,)</f>
        <v>109269677</v>
      </c>
      <c r="F28" s="69" t="s">
        <v>82</v>
      </c>
    </row>
    <row r="29" spans="1:9" s="2" customFormat="1">
      <c r="A29" s="12"/>
      <c r="B29" s="13"/>
      <c r="C29" s="13"/>
      <c r="D29" s="13"/>
      <c r="E29" s="13"/>
    </row>
    <row r="30" spans="1:9" s="2" customFormat="1">
      <c r="A30" s="12"/>
      <c r="B30" s="13"/>
      <c r="C30" s="13"/>
      <c r="D30" s="13"/>
      <c r="E30" s="13"/>
    </row>
    <row r="31" spans="1:9" s="2" customFormat="1">
      <c r="A31" s="12"/>
      <c r="B31" s="13"/>
      <c r="C31" s="13"/>
      <c r="D31" s="13"/>
      <c r="E31" s="13"/>
    </row>
    <row r="32" spans="1:9" s="13" customFormat="1">
      <c r="F32" s="2"/>
    </row>
    <row r="33" spans="1:6" s="2" customFormat="1">
      <c r="A33" s="12"/>
      <c r="B33" s="13"/>
      <c r="C33" s="13"/>
      <c r="D33" s="13"/>
      <c r="E33" s="13"/>
    </row>
    <row r="34" spans="1:6" s="2" customFormat="1">
      <c r="A34" s="12"/>
      <c r="B34" s="13"/>
      <c r="C34" s="13"/>
      <c r="D34" s="13"/>
      <c r="E34" s="13"/>
    </row>
    <row r="35" spans="1:6" s="2" customFormat="1">
      <c r="A35" s="12"/>
      <c r="B35" s="13"/>
      <c r="C35" s="13"/>
      <c r="D35" s="13"/>
      <c r="E35" s="13"/>
    </row>
    <row r="36" spans="1:6" s="13" customFormat="1">
      <c r="F36" s="2"/>
    </row>
    <row r="37" spans="1:6" s="13" customFormat="1">
      <c r="F37" s="2"/>
    </row>
    <row r="38" spans="1:6" s="2" customFormat="1">
      <c r="A38" s="7"/>
      <c r="B38" s="7"/>
      <c r="C38" s="7"/>
      <c r="D38" s="1"/>
      <c r="E38" s="1"/>
    </row>
    <row r="39" spans="1:6" s="2" customFormat="1">
      <c r="A39" s="7"/>
      <c r="B39" s="7"/>
      <c r="C39" s="7"/>
      <c r="D39" s="1"/>
      <c r="E39" s="1"/>
    </row>
    <row r="40" spans="1:6" s="2" customFormat="1">
      <c r="A40" s="7"/>
      <c r="B40" s="7"/>
      <c r="C40" s="7"/>
      <c r="D40" s="1"/>
      <c r="E40" s="1"/>
    </row>
    <row r="41" spans="1:6" s="2" customFormat="1">
      <c r="A41" s="7"/>
      <c r="B41" s="7"/>
      <c r="C41" s="7"/>
      <c r="D41" s="1"/>
      <c r="E41" s="1"/>
    </row>
  </sheetData>
  <mergeCells count="27">
    <mergeCell ref="A1:F1"/>
    <mergeCell ref="A2:F2"/>
    <mergeCell ref="A3:C3"/>
    <mergeCell ref="F3:F4"/>
    <mergeCell ref="A4:C4"/>
    <mergeCell ref="A5:A10"/>
    <mergeCell ref="B5:C5"/>
    <mergeCell ref="B6:B8"/>
    <mergeCell ref="B9:C9"/>
    <mergeCell ref="B10:C10"/>
    <mergeCell ref="A11:A20"/>
    <mergeCell ref="B11:C11"/>
    <mergeCell ref="B12:C12"/>
    <mergeCell ref="B13:C13"/>
    <mergeCell ref="B14:C14"/>
    <mergeCell ref="B15:C15"/>
    <mergeCell ref="B16:C16"/>
    <mergeCell ref="B17:B18"/>
    <mergeCell ref="B20:C20"/>
    <mergeCell ref="A27:C27"/>
    <mergeCell ref="A28:C28"/>
    <mergeCell ref="A21:C21"/>
    <mergeCell ref="A22:C22"/>
    <mergeCell ref="A23:C23"/>
    <mergeCell ref="A24:C24"/>
    <mergeCell ref="A25:C25"/>
    <mergeCell ref="A26:C26"/>
  </mergeCells>
  <phoneticPr fontId="3" type="noConversion"/>
  <printOptions horizontalCentered="1"/>
  <pageMargins left="0.51181102362204722" right="0.51181102362204722" top="0.94488188976377963" bottom="0.6692913385826772" header="0.70866141732283472" footer="0.39370078740157483"/>
  <pageSetup paperSize="9"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2"/>
  <sheetViews>
    <sheetView view="pageBreakPreview" zoomScaleNormal="85" zoomScaleSheetLayoutView="100" workbookViewId="0">
      <selection activeCell="D5" sqref="D5:D29"/>
    </sheetView>
  </sheetViews>
  <sheetFormatPr defaultRowHeight="13.5"/>
  <cols>
    <col min="1" max="1" width="5.33203125" style="1" customWidth="1"/>
    <col min="2" max="2" width="3.88671875" style="1" customWidth="1"/>
    <col min="3" max="3" width="16.5546875" style="1" customWidth="1"/>
    <col min="4" max="4" width="13.77734375" style="1" customWidth="1"/>
    <col min="5" max="5" width="77.44140625" style="2" customWidth="1"/>
    <col min="6" max="6" width="12" style="1" customWidth="1"/>
    <col min="7" max="7" width="4.109375" style="54" hidden="1" customWidth="1"/>
    <col min="8" max="8" width="13.88671875" style="1" bestFit="1" customWidth="1"/>
    <col min="9" max="9" width="15.33203125" style="1" customWidth="1"/>
    <col min="10" max="10" width="15.109375" style="1" bestFit="1" customWidth="1"/>
    <col min="11" max="16384" width="8.88671875" style="1"/>
  </cols>
  <sheetData>
    <row r="1" spans="1:10" s="3" customFormat="1" ht="39.950000000000003" customHeight="1">
      <c r="A1" s="167" t="s">
        <v>133</v>
      </c>
      <c r="B1" s="167"/>
      <c r="C1" s="167"/>
      <c r="D1" s="167"/>
      <c r="E1" s="167"/>
      <c r="G1" s="41">
        <f>'청소 용역비'!E1</f>
        <v>0.87793997478964558</v>
      </c>
    </row>
    <row r="2" spans="1:10" s="3" customFormat="1" ht="25.5" customHeight="1">
      <c r="A2" s="168" t="s">
        <v>90</v>
      </c>
      <c r="B2" s="168"/>
      <c r="C2" s="168"/>
      <c r="D2" s="168"/>
      <c r="E2" s="168"/>
      <c r="G2" s="41"/>
    </row>
    <row r="3" spans="1:10" s="4" customFormat="1" ht="25.5" customHeight="1">
      <c r="A3" s="169" t="s">
        <v>11</v>
      </c>
      <c r="B3" s="170"/>
      <c r="C3" s="171"/>
      <c r="D3" s="89" t="s">
        <v>100</v>
      </c>
      <c r="E3" s="172" t="s">
        <v>94</v>
      </c>
      <c r="F3" s="39"/>
      <c r="G3" s="50"/>
      <c r="H3" s="39"/>
    </row>
    <row r="4" spans="1:10" s="4" customFormat="1" ht="25.5" customHeight="1" thickBot="1">
      <c r="A4" s="174" t="s">
        <v>13</v>
      </c>
      <c r="B4" s="175"/>
      <c r="C4" s="176"/>
      <c r="D4" s="79">
        <v>1</v>
      </c>
      <c r="E4" s="173"/>
      <c r="G4" s="50"/>
    </row>
    <row r="5" spans="1:10" s="3" customFormat="1" ht="59.25" customHeight="1" thickTop="1">
      <c r="A5" s="153" t="s">
        <v>17</v>
      </c>
      <c r="B5" s="155" t="s">
        <v>56</v>
      </c>
      <c r="C5" s="156"/>
      <c r="D5" s="82"/>
      <c r="E5" s="93" t="s">
        <v>138</v>
      </c>
      <c r="F5" s="94"/>
      <c r="G5" s="41"/>
    </row>
    <row r="6" spans="1:10" s="3" customFormat="1" ht="25.5" customHeight="1">
      <c r="A6" s="153"/>
      <c r="B6" s="157" t="s">
        <v>98</v>
      </c>
      <c r="C6" s="87" t="s">
        <v>140</v>
      </c>
      <c r="D6" s="101"/>
      <c r="E6" s="113" t="s">
        <v>134</v>
      </c>
      <c r="F6" s="24"/>
      <c r="G6" s="41"/>
      <c r="H6" s="163" t="s">
        <v>125</v>
      </c>
      <c r="I6" s="164"/>
      <c r="J6" s="105"/>
    </row>
    <row r="7" spans="1:10" s="3" customFormat="1" ht="25.5" customHeight="1">
      <c r="A7" s="153"/>
      <c r="B7" s="158"/>
      <c r="C7" s="87" t="s">
        <v>92</v>
      </c>
      <c r="D7" s="101"/>
      <c r="E7" s="113" t="s">
        <v>135</v>
      </c>
      <c r="G7" s="41"/>
      <c r="H7" s="165"/>
      <c r="I7" s="166"/>
      <c r="J7" s="105"/>
    </row>
    <row r="8" spans="1:10" s="3" customFormat="1" ht="25.5" customHeight="1">
      <c r="A8" s="153"/>
      <c r="B8" s="159"/>
      <c r="C8" s="87" t="s">
        <v>55</v>
      </c>
      <c r="D8" s="81"/>
      <c r="E8" s="113" t="s">
        <v>136</v>
      </c>
      <c r="G8" s="41"/>
      <c r="H8" s="106" t="s">
        <v>106</v>
      </c>
      <c r="I8" s="107">
        <v>183</v>
      </c>
      <c r="J8" s="105"/>
    </row>
    <row r="9" spans="1:10" s="3" customFormat="1" ht="25.5" customHeight="1">
      <c r="A9" s="153"/>
      <c r="B9" s="149" t="s">
        <v>57</v>
      </c>
      <c r="C9" s="150"/>
      <c r="D9" s="81"/>
      <c r="E9" s="113" t="s">
        <v>113</v>
      </c>
      <c r="F9" s="46"/>
      <c r="G9" s="41"/>
      <c r="H9" s="106" t="s">
        <v>107</v>
      </c>
      <c r="I9" s="107" t="s">
        <v>108</v>
      </c>
      <c r="J9" s="105"/>
    </row>
    <row r="10" spans="1:10" s="3" customFormat="1" ht="25.5" customHeight="1">
      <c r="A10" s="154"/>
      <c r="B10" s="151" t="s">
        <v>20</v>
      </c>
      <c r="C10" s="152"/>
      <c r="D10" s="83"/>
      <c r="E10" s="112"/>
      <c r="F10" s="46"/>
      <c r="G10" s="41"/>
      <c r="H10" s="102"/>
      <c r="I10" s="102"/>
      <c r="J10" s="104"/>
    </row>
    <row r="11" spans="1:10" s="3" customFormat="1" ht="25.5" customHeight="1">
      <c r="A11" s="160" t="s">
        <v>93</v>
      </c>
      <c r="B11" s="157" t="s">
        <v>21</v>
      </c>
      <c r="C11" s="121" t="s">
        <v>58</v>
      </c>
      <c r="D11" s="80"/>
      <c r="E11" s="111" t="s">
        <v>114</v>
      </c>
      <c r="G11" s="51"/>
      <c r="H11" s="42"/>
    </row>
    <row r="12" spans="1:10" s="3" customFormat="1" ht="25.5" customHeight="1">
      <c r="A12" s="161"/>
      <c r="B12" s="158"/>
      <c r="C12" s="121" t="s">
        <v>109</v>
      </c>
      <c r="D12" s="80"/>
      <c r="E12" s="111" t="s">
        <v>115</v>
      </c>
      <c r="G12" s="51"/>
    </row>
    <row r="13" spans="1:10" s="3" customFormat="1" ht="25.5" customHeight="1">
      <c r="A13" s="161"/>
      <c r="B13" s="158"/>
      <c r="C13" s="121" t="s">
        <v>110</v>
      </c>
      <c r="D13" s="80"/>
      <c r="E13" s="111" t="s">
        <v>143</v>
      </c>
      <c r="G13" s="51"/>
      <c r="H13" s="42"/>
    </row>
    <row r="14" spans="1:10" s="3" customFormat="1" ht="25.5" customHeight="1">
      <c r="A14" s="161"/>
      <c r="B14" s="158"/>
      <c r="C14" s="121" t="s">
        <v>111</v>
      </c>
      <c r="D14" s="80"/>
      <c r="E14" s="111" t="s">
        <v>142</v>
      </c>
      <c r="G14" s="51"/>
    </row>
    <row r="15" spans="1:10" s="105" customFormat="1" ht="25.5" customHeight="1">
      <c r="A15" s="161"/>
      <c r="B15" s="158"/>
      <c r="C15" s="121" t="s">
        <v>62</v>
      </c>
      <c r="D15" s="80"/>
      <c r="E15" s="110" t="s">
        <v>116</v>
      </c>
      <c r="G15" s="51"/>
    </row>
    <row r="16" spans="1:10" s="3" customFormat="1" ht="25.5" customHeight="1">
      <c r="A16" s="161"/>
      <c r="B16" s="158"/>
      <c r="C16" s="121" t="s">
        <v>63</v>
      </c>
      <c r="D16" s="80"/>
      <c r="E16" s="111" t="s">
        <v>117</v>
      </c>
      <c r="G16" s="51"/>
    </row>
    <row r="17" spans="1:10" s="3" customFormat="1" ht="25.5" customHeight="1">
      <c r="A17" s="161"/>
      <c r="B17" s="158"/>
      <c r="C17" s="84" t="s">
        <v>51</v>
      </c>
      <c r="D17" s="81"/>
      <c r="E17" s="90" t="s">
        <v>118</v>
      </c>
      <c r="G17" s="51"/>
    </row>
    <row r="18" spans="1:10" s="3" customFormat="1" ht="25.5" customHeight="1">
      <c r="A18" s="161"/>
      <c r="B18" s="159"/>
      <c r="C18" s="84" t="s">
        <v>52</v>
      </c>
      <c r="D18" s="81"/>
      <c r="E18" s="90" t="s">
        <v>139</v>
      </c>
      <c r="G18" s="51"/>
    </row>
    <row r="19" spans="1:10" s="3" customFormat="1" ht="25.5" customHeight="1">
      <c r="A19" s="161"/>
      <c r="B19" s="179" t="s">
        <v>95</v>
      </c>
      <c r="C19" s="180"/>
      <c r="D19" s="80"/>
      <c r="E19" s="111" t="s">
        <v>119</v>
      </c>
      <c r="G19" s="51"/>
    </row>
    <row r="20" spans="1:10" s="3" customFormat="1" ht="25.5" customHeight="1">
      <c r="A20" s="162"/>
      <c r="B20" s="151" t="s">
        <v>20</v>
      </c>
      <c r="C20" s="152"/>
      <c r="D20" s="83"/>
      <c r="E20" s="112"/>
      <c r="F20" s="46"/>
      <c r="G20" s="41"/>
      <c r="I20" s="41"/>
      <c r="J20" s="43"/>
    </row>
    <row r="21" spans="1:10" s="3" customFormat="1" ht="25.5" customHeight="1">
      <c r="A21" s="187" t="s">
        <v>69</v>
      </c>
      <c r="B21" s="188"/>
      <c r="C21" s="189"/>
      <c r="D21" s="85"/>
      <c r="E21" s="109" t="s">
        <v>99</v>
      </c>
      <c r="G21" s="41"/>
    </row>
    <row r="22" spans="1:10" s="3" customFormat="1" ht="25.5" customHeight="1">
      <c r="A22" s="183" t="s">
        <v>4</v>
      </c>
      <c r="B22" s="183"/>
      <c r="C22" s="183"/>
      <c r="D22" s="80"/>
      <c r="E22" s="108" t="s">
        <v>120</v>
      </c>
      <c r="F22" s="46"/>
      <c r="G22" s="41"/>
    </row>
    <row r="23" spans="1:10" s="3" customFormat="1" ht="25.5" customHeight="1">
      <c r="A23" s="184" t="s">
        <v>96</v>
      </c>
      <c r="B23" s="185"/>
      <c r="C23" s="186"/>
      <c r="D23" s="80"/>
      <c r="E23" s="108" t="s">
        <v>121</v>
      </c>
      <c r="F23" s="46"/>
      <c r="G23" s="41"/>
    </row>
    <row r="24" spans="1:10" s="105" customFormat="1" ht="41.25" customHeight="1">
      <c r="A24" s="184" t="s">
        <v>112</v>
      </c>
      <c r="B24" s="185"/>
      <c r="C24" s="186"/>
      <c r="D24" s="80"/>
      <c r="E24" s="100" t="s">
        <v>137</v>
      </c>
      <c r="F24" s="103"/>
      <c r="G24" s="102"/>
    </row>
    <row r="25" spans="1:10" s="3" customFormat="1" ht="25.5" customHeight="1">
      <c r="A25" s="181" t="s">
        <v>72</v>
      </c>
      <c r="B25" s="181"/>
      <c r="C25" s="181"/>
      <c r="D25" s="86"/>
      <c r="E25" s="95"/>
      <c r="F25" s="46"/>
      <c r="G25" s="41"/>
      <c r="H25" s="41"/>
    </row>
    <row r="26" spans="1:10" s="3" customFormat="1" ht="25.5" customHeight="1">
      <c r="A26" s="182" t="s">
        <v>97</v>
      </c>
      <c r="B26" s="182"/>
      <c r="C26" s="182"/>
      <c r="D26" s="80"/>
      <c r="E26" s="96" t="s">
        <v>122</v>
      </c>
      <c r="F26" s="46"/>
      <c r="G26" s="41"/>
      <c r="H26" s="41"/>
      <c r="J26" s="43"/>
    </row>
    <row r="27" spans="1:10" s="3" customFormat="1" ht="25.5" customHeight="1">
      <c r="A27" s="181" t="s">
        <v>12</v>
      </c>
      <c r="B27" s="181"/>
      <c r="C27" s="181"/>
      <c r="D27" s="86"/>
      <c r="E27" s="97"/>
      <c r="F27" s="46"/>
      <c r="G27" s="41"/>
    </row>
    <row r="28" spans="1:10" s="13" customFormat="1" ht="25.5" customHeight="1">
      <c r="A28" s="177" t="s">
        <v>14</v>
      </c>
      <c r="B28" s="177"/>
      <c r="C28" s="177"/>
      <c r="D28" s="92"/>
      <c r="E28" s="98" t="s">
        <v>123</v>
      </c>
      <c r="F28" s="48"/>
      <c r="G28" s="52"/>
    </row>
    <row r="29" spans="1:10" s="13" customFormat="1" ht="30" customHeight="1">
      <c r="A29" s="178" t="s">
        <v>105</v>
      </c>
      <c r="B29" s="178"/>
      <c r="C29" s="178"/>
      <c r="D29" s="88"/>
      <c r="E29" s="99" t="s">
        <v>124</v>
      </c>
      <c r="G29" s="52"/>
      <c r="H29" s="52"/>
    </row>
    <row r="30" spans="1:10" s="2" customFormat="1">
      <c r="A30" s="12"/>
      <c r="B30" s="13"/>
      <c r="C30" s="13"/>
      <c r="D30" s="13"/>
      <c r="G30" s="53"/>
    </row>
    <row r="31" spans="1:10" s="2" customFormat="1">
      <c r="A31" s="12"/>
      <c r="B31" s="13"/>
      <c r="C31" s="13"/>
      <c r="D31" s="13"/>
      <c r="G31" s="53"/>
    </row>
    <row r="32" spans="1:10" s="2" customFormat="1">
      <c r="A32" s="12"/>
      <c r="B32" s="13"/>
      <c r="C32" s="13"/>
      <c r="D32" s="120"/>
      <c r="G32" s="53"/>
    </row>
    <row r="33" spans="1:7" s="13" customFormat="1">
      <c r="D33" s="120"/>
      <c r="E33" s="2"/>
      <c r="G33" s="52"/>
    </row>
    <row r="34" spans="1:7" s="2" customFormat="1">
      <c r="A34" s="12"/>
      <c r="B34" s="13"/>
      <c r="C34" s="13"/>
      <c r="D34" s="13"/>
      <c r="G34" s="53"/>
    </row>
    <row r="35" spans="1:7" s="2" customFormat="1">
      <c r="A35" s="12"/>
      <c r="B35" s="13"/>
      <c r="C35" s="13"/>
      <c r="D35" s="13"/>
      <c r="G35" s="53"/>
    </row>
    <row r="36" spans="1:7" s="2" customFormat="1">
      <c r="A36" s="12"/>
      <c r="B36" s="13"/>
      <c r="C36" s="13"/>
      <c r="D36" s="13"/>
      <c r="G36" s="53"/>
    </row>
    <row r="37" spans="1:7" s="13" customFormat="1">
      <c r="E37" s="2"/>
      <c r="G37" s="52"/>
    </row>
    <row r="38" spans="1:7" s="13" customFormat="1">
      <c r="E38" s="2"/>
      <c r="G38" s="52"/>
    </row>
    <row r="39" spans="1:7" s="2" customFormat="1">
      <c r="A39" s="7"/>
      <c r="B39" s="7"/>
      <c r="C39" s="7"/>
      <c r="D39" s="1"/>
      <c r="G39" s="53"/>
    </row>
    <row r="40" spans="1:7" s="2" customFormat="1">
      <c r="A40" s="7"/>
      <c r="B40" s="7"/>
      <c r="C40" s="7"/>
      <c r="D40" s="1"/>
      <c r="G40" s="53"/>
    </row>
    <row r="41" spans="1:7" s="2" customFormat="1">
      <c r="A41" s="7"/>
      <c r="B41" s="7"/>
      <c r="C41" s="7"/>
      <c r="D41" s="1"/>
      <c r="G41" s="53"/>
    </row>
    <row r="42" spans="1:7" s="2" customFormat="1">
      <c r="A42" s="7"/>
      <c r="B42" s="7"/>
      <c r="C42" s="7"/>
      <c r="D42" s="1"/>
      <c r="G42" s="53"/>
    </row>
  </sheetData>
  <mergeCells count="24">
    <mergeCell ref="A28:C28"/>
    <mergeCell ref="A29:C29"/>
    <mergeCell ref="B10:C10"/>
    <mergeCell ref="B19:C19"/>
    <mergeCell ref="A25:C25"/>
    <mergeCell ref="A26:C26"/>
    <mergeCell ref="A27:C27"/>
    <mergeCell ref="A22:C22"/>
    <mergeCell ref="A23:C23"/>
    <mergeCell ref="A24:C24"/>
    <mergeCell ref="A21:C21"/>
    <mergeCell ref="H6:I7"/>
    <mergeCell ref="A1:E1"/>
    <mergeCell ref="A2:E2"/>
    <mergeCell ref="A3:C3"/>
    <mergeCell ref="E3:E4"/>
    <mergeCell ref="A4:C4"/>
    <mergeCell ref="B9:C9"/>
    <mergeCell ref="B20:C20"/>
    <mergeCell ref="A5:A10"/>
    <mergeCell ref="B5:C5"/>
    <mergeCell ref="B6:B8"/>
    <mergeCell ref="B11:B18"/>
    <mergeCell ref="A11:A20"/>
  </mergeCells>
  <phoneticPr fontId="3" type="noConversion"/>
  <printOptions horizontalCentered="1"/>
  <pageMargins left="0.51181102362204722" right="0.51181102362204722" top="0.94488188976377963" bottom="0.6692913385826772" header="0.70866141732283472" footer="0.39370078740157483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J41"/>
  <sheetViews>
    <sheetView view="pageBreakPreview" topLeftCell="C1" zoomScaleNormal="85" zoomScaleSheetLayoutView="100" workbookViewId="0">
      <selection activeCell="D13" sqref="D13"/>
    </sheetView>
  </sheetViews>
  <sheetFormatPr defaultColWidth="8.88671875" defaultRowHeight="13.5"/>
  <cols>
    <col min="1" max="1" width="7.44140625" style="1" customWidth="1"/>
    <col min="2" max="2" width="6.33203125" style="1" customWidth="1"/>
    <col min="3" max="4" width="16.21875" style="1" customWidth="1"/>
    <col min="5" max="5" width="13.77734375" style="1" hidden="1" customWidth="1"/>
    <col min="6" max="6" width="48.5546875" style="2" customWidth="1"/>
    <col min="7" max="7" width="9.88671875" style="1" bestFit="1" customWidth="1"/>
    <col min="8" max="8" width="8.88671875" style="1" hidden="1" customWidth="1"/>
    <col min="9" max="16384" width="8.88671875" style="1"/>
  </cols>
  <sheetData>
    <row r="1" spans="1:10" s="3" customFormat="1" ht="39.950000000000003" customHeight="1">
      <c r="A1" s="145" t="s">
        <v>38</v>
      </c>
      <c r="B1" s="145"/>
      <c r="C1" s="145"/>
      <c r="D1" s="145"/>
      <c r="E1" s="145"/>
      <c r="F1" s="145"/>
      <c r="H1" s="3">
        <f>'청소 용역비'!E1</f>
        <v>0.87793997478964558</v>
      </c>
    </row>
    <row r="2" spans="1:10" s="3" customFormat="1" ht="25.5" customHeight="1">
      <c r="A2" s="146" t="s">
        <v>15</v>
      </c>
      <c r="B2" s="146"/>
      <c r="C2" s="146"/>
      <c r="D2" s="146"/>
      <c r="E2" s="146"/>
      <c r="F2" s="146"/>
    </row>
    <row r="3" spans="1:10" s="4" customFormat="1" ht="25.5" customHeight="1">
      <c r="A3" s="147" t="s">
        <v>11</v>
      </c>
      <c r="B3" s="147"/>
      <c r="C3" s="147"/>
      <c r="D3" s="27" t="s">
        <v>32</v>
      </c>
      <c r="E3" s="196"/>
      <c r="F3" s="148" t="s">
        <v>33</v>
      </c>
      <c r="J3" s="39"/>
    </row>
    <row r="4" spans="1:10" s="4" customFormat="1" ht="25.5" customHeight="1">
      <c r="A4" s="147" t="s">
        <v>13</v>
      </c>
      <c r="B4" s="147"/>
      <c r="C4" s="147"/>
      <c r="D4" s="27">
        <v>1</v>
      </c>
      <c r="E4" s="196"/>
      <c r="F4" s="148"/>
    </row>
    <row r="5" spans="1:10" s="3" customFormat="1" ht="25.5" customHeight="1">
      <c r="A5" s="136" t="s">
        <v>17</v>
      </c>
      <c r="B5" s="139" t="s">
        <v>6</v>
      </c>
      <c r="C5" s="135"/>
      <c r="D5" s="5">
        <f>209*6030*1.14</f>
        <v>1436707.7999999998</v>
      </c>
      <c r="E5" s="9" t="e">
        <f>#REF!+#REF!+(#REF!*3)+(D5*145)</f>
        <v>#REF!</v>
      </c>
      <c r="F5" s="30" t="s">
        <v>80</v>
      </c>
      <c r="G5" s="3" t="s">
        <v>35</v>
      </c>
    </row>
    <row r="6" spans="1:10" s="3" customFormat="1" ht="25.5" customHeight="1">
      <c r="A6" s="138"/>
      <c r="B6" s="140" t="s">
        <v>19</v>
      </c>
      <c r="C6" s="60" t="s">
        <v>53</v>
      </c>
      <c r="D6" s="5">
        <f>(((D5/209)*1.5)*(0.5*5*(52/12)))</f>
        <v>111705.74999999999</v>
      </c>
      <c r="E6" s="9" t="e">
        <f>#REF!+#REF!+(#REF!*3)+(D6*145)</f>
        <v>#REF!</v>
      </c>
      <c r="F6" s="33" t="s">
        <v>45</v>
      </c>
      <c r="G6" s="3" t="s">
        <v>65</v>
      </c>
      <c r="J6" s="45">
        <f>0.5*5*4.35</f>
        <v>10.875</v>
      </c>
    </row>
    <row r="7" spans="1:10" s="3" customFormat="1" ht="25.5" customHeight="1">
      <c r="A7" s="138"/>
      <c r="B7" s="141"/>
      <c r="C7" s="60" t="s">
        <v>54</v>
      </c>
      <c r="D7" s="5"/>
      <c r="E7" s="9"/>
      <c r="F7" s="33" t="s">
        <v>46</v>
      </c>
    </row>
    <row r="8" spans="1:10" s="3" customFormat="1" ht="25.5" customHeight="1">
      <c r="A8" s="138"/>
      <c r="B8" s="142"/>
      <c r="C8" s="61" t="s">
        <v>55</v>
      </c>
      <c r="D8" s="23">
        <f>((D5/209)*8)*(15/12)</f>
        <v>68741.999999999985</v>
      </c>
      <c r="E8" s="10" t="e">
        <f>#REF!+#REF!+(#REF!*3)+(D8*145)</f>
        <v>#REF!</v>
      </c>
      <c r="F8" s="33" t="s">
        <v>66</v>
      </c>
      <c r="G8" s="46"/>
    </row>
    <row r="9" spans="1:10" s="3" customFormat="1" ht="25.5" customHeight="1">
      <c r="A9" s="138"/>
      <c r="B9" s="143" t="s">
        <v>7</v>
      </c>
      <c r="C9" s="144"/>
      <c r="D9" s="23">
        <f>SUM(D5:D8)/12</f>
        <v>134762.96249999999</v>
      </c>
      <c r="E9" s="10"/>
      <c r="F9" s="33" t="s">
        <v>44</v>
      </c>
      <c r="G9" s="46"/>
    </row>
    <row r="10" spans="1:10" s="3" customFormat="1" ht="25.5" customHeight="1">
      <c r="A10" s="137"/>
      <c r="B10" s="126" t="s">
        <v>20</v>
      </c>
      <c r="C10" s="127"/>
      <c r="D10" s="34">
        <f>SUM(D5:D9)</f>
        <v>1751918.5124999997</v>
      </c>
      <c r="E10" s="35" t="e">
        <f>#REF!+#REF!+(#REF!*3)+(D10*145)</f>
        <v>#REF!</v>
      </c>
      <c r="F10" s="36"/>
    </row>
    <row r="11" spans="1:10" s="3" customFormat="1" ht="25.5" customHeight="1">
      <c r="A11" s="128" t="s">
        <v>21</v>
      </c>
      <c r="B11" s="192" t="s">
        <v>58</v>
      </c>
      <c r="C11" s="193"/>
      <c r="D11" s="5">
        <f>SUM(D5:D8)*4.5%</f>
        <v>72771.999749999988</v>
      </c>
      <c r="E11" s="9" t="e">
        <f>#REF!+#REF!+(#REF!*3)+(D11*145)</f>
        <v>#REF!</v>
      </c>
      <c r="F11" s="31" t="s">
        <v>24</v>
      </c>
    </row>
    <row r="12" spans="1:10" s="3" customFormat="1" ht="25.5" customHeight="1">
      <c r="A12" s="128"/>
      <c r="B12" s="192" t="s">
        <v>59</v>
      </c>
      <c r="C12" s="193"/>
      <c r="D12" s="5">
        <f>SUM(D5:D8)*3.035%</f>
        <v>49080.670942500001</v>
      </c>
      <c r="E12" s="9" t="e">
        <f>#REF!+#REF!+(#REF!*3)+(D12*145)</f>
        <v>#REF!</v>
      </c>
      <c r="F12" s="31" t="s">
        <v>85</v>
      </c>
    </row>
    <row r="13" spans="1:10" s="3" customFormat="1" ht="25.5" customHeight="1">
      <c r="A13" s="128"/>
      <c r="B13" s="192" t="s">
        <v>60</v>
      </c>
      <c r="C13" s="193"/>
      <c r="D13" s="5">
        <f>SUM(D5:D8)*1.5%</f>
        <v>24257.333249999996</v>
      </c>
      <c r="E13" s="9" t="e">
        <f>#REF!+#REF!+(#REF!*3)+(D13*145)</f>
        <v>#REF!</v>
      </c>
      <c r="F13" s="31" t="s">
        <v>25</v>
      </c>
      <c r="I13" s="38"/>
    </row>
    <row r="14" spans="1:10" s="3" customFormat="1" ht="25.5" customHeight="1">
      <c r="A14" s="128"/>
      <c r="B14" s="192" t="s">
        <v>61</v>
      </c>
      <c r="C14" s="193"/>
      <c r="D14" s="5">
        <f>SUM(D5:D8)*1.8%</f>
        <v>29108.799900000002</v>
      </c>
      <c r="E14" s="9" t="e">
        <f>#REF!+#REF!+(#REF!*3)+(D14*145)</f>
        <v>#REF!</v>
      </c>
      <c r="F14" s="31" t="s">
        <v>26</v>
      </c>
    </row>
    <row r="15" spans="1:10" s="3" customFormat="1" ht="25.5" customHeight="1">
      <c r="A15" s="128"/>
      <c r="B15" s="192" t="s">
        <v>62</v>
      </c>
      <c r="C15" s="193"/>
      <c r="D15" s="5">
        <f>D12*6.55%</f>
        <v>3214.7839467337503</v>
      </c>
      <c r="E15" s="9" t="e">
        <f>#REF!+#REF!+(#REF!*3)+(D15*145)</f>
        <v>#REF!</v>
      </c>
      <c r="F15" s="32" t="s">
        <v>23</v>
      </c>
    </row>
    <row r="16" spans="1:10" s="3" customFormat="1" ht="25.5" customHeight="1">
      <c r="A16" s="128"/>
      <c r="B16" s="192" t="s">
        <v>63</v>
      </c>
      <c r="C16" s="193"/>
      <c r="D16" s="5">
        <f>SUM(D5:D8)*0.08%</f>
        <v>1293.72444</v>
      </c>
      <c r="E16" s="9" t="e">
        <f>#REF!+#REF!+(#REF!*3)+(D16*145)</f>
        <v>#REF!</v>
      </c>
      <c r="F16" s="31" t="s">
        <v>27</v>
      </c>
    </row>
    <row r="17" spans="1:6" s="3" customFormat="1" ht="25.5" customHeight="1">
      <c r="A17" s="128"/>
      <c r="B17" s="136" t="s">
        <v>48</v>
      </c>
      <c r="C17" s="57" t="s">
        <v>5</v>
      </c>
      <c r="D17" s="23">
        <v>9500</v>
      </c>
      <c r="E17" s="9"/>
      <c r="F17" s="31" t="s">
        <v>29</v>
      </c>
    </row>
    <row r="18" spans="1:6" s="3" customFormat="1" ht="25.5" customHeight="1">
      <c r="A18" s="128"/>
      <c r="B18" s="137"/>
      <c r="C18" s="57" t="s">
        <v>22</v>
      </c>
      <c r="D18" s="23">
        <v>115000</v>
      </c>
      <c r="E18" s="9"/>
      <c r="F18" s="31" t="s">
        <v>30</v>
      </c>
    </row>
    <row r="19" spans="1:6" s="3" customFormat="1" ht="25.5" customHeight="1">
      <c r="A19" s="128"/>
      <c r="B19" s="194" t="s">
        <v>74</v>
      </c>
      <c r="C19" s="195"/>
      <c r="D19" s="23">
        <f>D10*0.5%</f>
        <v>8759.5925624999982</v>
      </c>
      <c r="E19" s="9"/>
      <c r="F19" s="31" t="s">
        <v>30</v>
      </c>
    </row>
    <row r="20" spans="1:6" s="3" customFormat="1" ht="25.5" customHeight="1">
      <c r="A20" s="128"/>
      <c r="B20" s="126" t="s">
        <v>20</v>
      </c>
      <c r="C20" s="127"/>
      <c r="D20" s="34">
        <f>SUM(D11:D19)</f>
        <v>312986.90479173372</v>
      </c>
      <c r="E20" s="35" t="e">
        <f>#REF!+#REF!+(#REF!*3)+(D20*145)</f>
        <v>#REF!</v>
      </c>
      <c r="F20" s="36"/>
    </row>
    <row r="21" spans="1:6" s="3" customFormat="1" ht="25.5" customHeight="1">
      <c r="A21" s="132" t="s">
        <v>73</v>
      </c>
      <c r="B21" s="132"/>
      <c r="C21" s="132"/>
      <c r="D21" s="14">
        <f>D20+D10</f>
        <v>2064905.4172917334</v>
      </c>
      <c r="E21" s="15" t="e">
        <f>#REF!+#REF!+(#REF!*3)+(D21*145)</f>
        <v>#REF!</v>
      </c>
      <c r="F21" s="25"/>
    </row>
    <row r="22" spans="1:6" s="3" customFormat="1" ht="25.5" customHeight="1">
      <c r="A22" s="128" t="s">
        <v>4</v>
      </c>
      <c r="B22" s="128"/>
      <c r="C22" s="128"/>
      <c r="D22" s="5">
        <f>D21*5%</f>
        <v>103245.27086458668</v>
      </c>
      <c r="E22" s="11" t="e">
        <f>#REF!+#REF!+(#REF!*3)+(D22*145)</f>
        <v>#REF!</v>
      </c>
      <c r="F22" s="37" t="s">
        <v>68</v>
      </c>
    </row>
    <row r="23" spans="1:6" s="3" customFormat="1" ht="25.5" customHeight="1">
      <c r="A23" s="129" t="s">
        <v>16</v>
      </c>
      <c r="B23" s="130"/>
      <c r="C23" s="131"/>
      <c r="D23" s="5">
        <f>(D22+D21)*7%</f>
        <v>151770.54817094243</v>
      </c>
      <c r="E23" s="11" t="e">
        <f>E22+E21*7%</f>
        <v>#REF!</v>
      </c>
      <c r="F23" s="37" t="s">
        <v>67</v>
      </c>
    </row>
    <row r="24" spans="1:6" s="3" customFormat="1" ht="25.5" customHeight="1">
      <c r="A24" s="132" t="s">
        <v>70</v>
      </c>
      <c r="B24" s="132"/>
      <c r="C24" s="132"/>
      <c r="D24" s="14">
        <f>D23+D22+D21</f>
        <v>2319921.2363272626</v>
      </c>
      <c r="E24" s="15" t="e">
        <f>#REF!+#REF!+(#REF!*3)+(D24*145)</f>
        <v>#REF!</v>
      </c>
      <c r="F24" s="16"/>
    </row>
    <row r="25" spans="1:6" s="3" customFormat="1" ht="25.5" customHeight="1">
      <c r="A25" s="133" t="s">
        <v>10</v>
      </c>
      <c r="B25" s="133"/>
      <c r="C25" s="133"/>
      <c r="D25" s="5">
        <f>D24*10%</f>
        <v>231992.12363272626</v>
      </c>
      <c r="E25" s="9" t="e">
        <f>#REF!+#REF!+(#REF!*3)+(D25*145)</f>
        <v>#REF!</v>
      </c>
      <c r="F25" s="8"/>
    </row>
    <row r="26" spans="1:6" s="3" customFormat="1" ht="25.5" customHeight="1">
      <c r="A26" s="132" t="s">
        <v>12</v>
      </c>
      <c r="B26" s="132"/>
      <c r="C26" s="132"/>
      <c r="D26" s="14">
        <f>D25+D24</f>
        <v>2551913.3599599889</v>
      </c>
      <c r="E26" s="15" t="e">
        <f>#REF!+#REF!+(#REF!*3)+(D26*145)</f>
        <v>#REF!</v>
      </c>
      <c r="F26" s="17"/>
    </row>
    <row r="27" spans="1:6" s="13" customFormat="1" ht="25.5" customHeight="1">
      <c r="A27" s="123" t="s">
        <v>14</v>
      </c>
      <c r="B27" s="123"/>
      <c r="C27" s="123"/>
      <c r="D27" s="22">
        <f>D26</f>
        <v>2551913.3599599889</v>
      </c>
      <c r="E27" s="20"/>
      <c r="F27" s="21"/>
    </row>
    <row r="28" spans="1:6" s="13" customFormat="1" ht="25.5" customHeight="1">
      <c r="A28" s="124" t="s">
        <v>83</v>
      </c>
      <c r="B28" s="124"/>
      <c r="C28" s="124"/>
      <c r="D28" s="190">
        <f>ROUNDDOWN((D27)*12,)</f>
        <v>30622960</v>
      </c>
      <c r="E28" s="191"/>
      <c r="F28" s="26"/>
    </row>
    <row r="29" spans="1:6" s="2" customFormat="1">
      <c r="A29" s="12"/>
      <c r="B29" s="13"/>
      <c r="C29" s="13"/>
      <c r="D29" s="13"/>
      <c r="E29" s="13"/>
    </row>
    <row r="30" spans="1:6" s="2" customFormat="1">
      <c r="A30" s="12"/>
      <c r="B30" s="13"/>
      <c r="C30" s="13"/>
      <c r="D30" s="13"/>
      <c r="E30" s="13"/>
    </row>
    <row r="31" spans="1:6" s="2" customFormat="1">
      <c r="A31" s="12"/>
      <c r="B31" s="13"/>
      <c r="C31" s="13"/>
      <c r="D31" s="13"/>
      <c r="E31" s="13"/>
    </row>
    <row r="32" spans="1:6" s="13" customFormat="1">
      <c r="F32" s="2"/>
    </row>
    <row r="33" spans="1:6" s="2" customFormat="1">
      <c r="A33" s="12"/>
      <c r="B33" s="13"/>
      <c r="C33" s="13"/>
      <c r="D33" s="13"/>
      <c r="E33" s="13"/>
    </row>
    <row r="34" spans="1:6" s="2" customFormat="1">
      <c r="A34" s="12"/>
      <c r="B34" s="13"/>
      <c r="C34" s="13"/>
      <c r="D34" s="13"/>
      <c r="E34" s="13"/>
      <c r="F34" s="62" t="e">
        <f>D28+창업보육센터_청소1인!#REF!+#REF!</f>
        <v>#REF!</v>
      </c>
    </row>
    <row r="35" spans="1:6" s="2" customFormat="1">
      <c r="A35" s="12"/>
      <c r="B35" s="13"/>
      <c r="C35" s="13"/>
      <c r="D35" s="13"/>
      <c r="E35" s="13"/>
    </row>
    <row r="36" spans="1:6" s="13" customFormat="1">
      <c r="F36" s="2"/>
    </row>
    <row r="37" spans="1:6" s="13" customFormat="1">
      <c r="F37" s="2"/>
    </row>
    <row r="38" spans="1:6" s="2" customFormat="1">
      <c r="A38" s="7"/>
      <c r="B38" s="7"/>
      <c r="C38" s="7"/>
      <c r="D38" s="1"/>
      <c r="E38" s="7"/>
    </row>
    <row r="39" spans="1:6" s="2" customFormat="1">
      <c r="A39" s="7"/>
      <c r="B39" s="7"/>
      <c r="C39" s="7"/>
      <c r="D39" s="1"/>
      <c r="E39" s="7"/>
    </row>
    <row r="40" spans="1:6" s="2" customFormat="1">
      <c r="A40" s="7"/>
      <c r="B40" s="7"/>
      <c r="C40" s="7"/>
      <c r="D40" s="1"/>
      <c r="E40" s="7"/>
    </row>
    <row r="41" spans="1:6" s="2" customFormat="1">
      <c r="A41" s="7"/>
      <c r="B41" s="7"/>
      <c r="C41" s="7"/>
      <c r="D41" s="1"/>
      <c r="E41" s="7"/>
    </row>
  </sheetData>
  <mergeCells count="30">
    <mergeCell ref="A1:F1"/>
    <mergeCell ref="A2:F2"/>
    <mergeCell ref="A3:C3"/>
    <mergeCell ref="E3:E4"/>
    <mergeCell ref="F3:F4"/>
    <mergeCell ref="B14:C14"/>
    <mergeCell ref="A4:C4"/>
    <mergeCell ref="A5:A10"/>
    <mergeCell ref="B5:C5"/>
    <mergeCell ref="A11:A20"/>
    <mergeCell ref="B11:C11"/>
    <mergeCell ref="B12:C12"/>
    <mergeCell ref="B13:C13"/>
    <mergeCell ref="B15:C15"/>
    <mergeCell ref="B6:B8"/>
    <mergeCell ref="B9:C9"/>
    <mergeCell ref="B10:C10"/>
    <mergeCell ref="D28:E28"/>
    <mergeCell ref="A21:C21"/>
    <mergeCell ref="B16:C16"/>
    <mergeCell ref="B20:C20"/>
    <mergeCell ref="B17:B18"/>
    <mergeCell ref="B19:C19"/>
    <mergeCell ref="A27:C27"/>
    <mergeCell ref="A28:C28"/>
    <mergeCell ref="A22:C22"/>
    <mergeCell ref="A23:C23"/>
    <mergeCell ref="A24:C24"/>
    <mergeCell ref="A25:C25"/>
    <mergeCell ref="A26:C26"/>
  </mergeCells>
  <phoneticPr fontId="3" type="noConversion"/>
  <printOptions horizontalCentered="1"/>
  <pageMargins left="0.51181102362204722" right="0.51181102362204722" top="0.94488188976377963" bottom="0.6692913385826772" header="0.70866141732283472" footer="0.39370078740157483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청소 용역비</vt:lpstr>
      <vt:lpstr>시설관리 (2)</vt:lpstr>
      <vt:lpstr>창업보육센터_청소1인</vt:lpstr>
      <vt:lpstr>CGI센터_경비안내</vt:lpstr>
      <vt:lpstr>CGI센터_경비안내!Print_Area</vt:lpstr>
      <vt:lpstr>'시설관리 (2)'!Print_Area</vt:lpstr>
      <vt:lpstr>창업보육센터_청소1인!Print_Area</vt:lpstr>
      <vt:lpstr>'청소 용역비'!Print_Area</vt:lpstr>
    </vt:vector>
  </TitlesOfParts>
  <Company>unies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임경빈</dc:creator>
  <cp:lastModifiedBy>HISSC1</cp:lastModifiedBy>
  <cp:lastPrinted>2018-11-27T01:19:18Z</cp:lastPrinted>
  <dcterms:created xsi:type="dcterms:W3CDTF">2007-03-26T06:19:42Z</dcterms:created>
  <dcterms:modified xsi:type="dcterms:W3CDTF">2021-12-06T09:41:52Z</dcterms:modified>
</cp:coreProperties>
</file>