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01Andhikhola_working\Andhikhola\Andhi Khola Final results\"/>
    </mc:Choice>
  </mc:AlternateContent>
  <bookViews>
    <workbookView xWindow="0" yWindow="0" windowWidth="20490" windowHeight="7650"/>
  </bookViews>
  <sheets>
    <sheet name="Flood flow JHC" sheetId="1" r:id="rId1"/>
    <sheet name="Sheet2" sheetId="3" r:id="rId2"/>
    <sheet name="Sheet1" sheetId="2" r:id="rId3"/>
  </sheets>
  <definedNames>
    <definedName name="_xlnm.Print_Area" localSheetId="0">'Flood flow JHC'!$A$1:$K$56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35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8" i="1"/>
  <c r="B40" i="1" l="1"/>
  <c r="B39" i="1"/>
  <c r="B38" i="1"/>
  <c r="F4" i="1" l="1"/>
  <c r="J56" i="1" l="1"/>
  <c r="B56" i="1"/>
  <c r="C56" i="1" s="1"/>
  <c r="D56" i="1" s="1"/>
  <c r="J55" i="1"/>
  <c r="B55" i="1"/>
  <c r="C55" i="1" s="1"/>
  <c r="D55" i="1" s="1"/>
  <c r="J54" i="1"/>
  <c r="B54" i="1"/>
  <c r="C54" i="1" s="1"/>
  <c r="D54" i="1" s="1"/>
  <c r="J53" i="1"/>
  <c r="B53" i="1"/>
  <c r="C53" i="1" s="1"/>
  <c r="D53" i="1" s="1"/>
  <c r="J52" i="1"/>
  <c r="B52" i="1"/>
  <c r="C52" i="1" s="1"/>
  <c r="D52" i="1" s="1"/>
  <c r="J51" i="1"/>
  <c r="B51" i="1"/>
  <c r="C51" i="1" s="1"/>
  <c r="D51" i="1" s="1"/>
  <c r="J50" i="1"/>
  <c r="B50" i="1"/>
  <c r="C50" i="1" s="1"/>
  <c r="D50" i="1" s="1"/>
  <c r="J49" i="1"/>
  <c r="B49" i="1"/>
  <c r="C49" i="1" s="1"/>
  <c r="D49" i="1" s="1"/>
  <c r="J48" i="1"/>
  <c r="B48" i="1"/>
  <c r="C48" i="1" s="1"/>
  <c r="D48" i="1" s="1"/>
  <c r="J47" i="1"/>
  <c r="B47" i="1"/>
  <c r="C47" i="1" s="1"/>
  <c r="D47" i="1" s="1"/>
  <c r="B46" i="1"/>
  <c r="C46" i="1" s="1"/>
  <c r="D46" i="1" s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8" i="1"/>
  <c r="C40" i="1" l="1"/>
  <c r="C39" i="1"/>
  <c r="C38" i="1"/>
  <c r="K53" i="1"/>
  <c r="K48" i="1"/>
  <c r="K47" i="1"/>
  <c r="K56" i="1"/>
  <c r="K55" i="1"/>
  <c r="K54" i="1"/>
  <c r="K52" i="1"/>
  <c r="K51" i="1"/>
  <c r="K50" i="1"/>
  <c r="K49" i="1"/>
  <c r="G55" i="1" l="1"/>
  <c r="H55" i="1" s="1"/>
  <c r="I55" i="1" s="1"/>
  <c r="G56" i="1"/>
  <c r="H56" i="1" s="1"/>
  <c r="I56" i="1" s="1"/>
  <c r="G46" i="1"/>
  <c r="H46" i="1" s="1"/>
  <c r="I46" i="1" s="1"/>
  <c r="G47" i="1"/>
  <c r="H47" i="1" s="1"/>
  <c r="I47" i="1" s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E54" i="1"/>
  <c r="F54" i="1" s="1"/>
  <c r="E49" i="1"/>
  <c r="F49" i="1" s="1"/>
  <c r="E48" i="1"/>
  <c r="F48" i="1" s="1"/>
  <c r="E47" i="1"/>
  <c r="F47" i="1" s="1"/>
  <c r="E56" i="1"/>
  <c r="F56" i="1" s="1"/>
  <c r="E53" i="1"/>
  <c r="F53" i="1" s="1"/>
  <c r="E52" i="1"/>
  <c r="F52" i="1" s="1"/>
  <c r="E50" i="1"/>
  <c r="F50" i="1" s="1"/>
  <c r="E51" i="1"/>
  <c r="F51" i="1" s="1"/>
  <c r="E46" i="1"/>
  <c r="F46" i="1" s="1"/>
  <c r="E55" i="1"/>
  <c r="F55" i="1" s="1"/>
</calcChain>
</file>

<file path=xl/sharedStrings.xml><?xml version="1.0" encoding="utf-8"?>
<sst xmlns="http://schemas.openxmlformats.org/spreadsheetml/2006/main" count="111" uniqueCount="75">
  <si>
    <t>Year</t>
  </si>
  <si>
    <t>Maximum flow</t>
  </si>
  <si>
    <t>X = Qi</t>
  </si>
  <si>
    <t>y = log(x)</t>
  </si>
  <si>
    <t>Statistical Parameter</t>
  </si>
  <si>
    <t>Mean</t>
  </si>
  <si>
    <r>
      <t>y</t>
    </r>
    <r>
      <rPr>
        <vertAlign val="subscript"/>
        <sz val="10"/>
        <rFont val="Gill Sans MT"/>
        <family val="2"/>
      </rPr>
      <t>mean</t>
    </r>
  </si>
  <si>
    <t>Std. Deviation</t>
  </si>
  <si>
    <t>s</t>
  </si>
  <si>
    <t>Coef Skew</t>
  </si>
  <si>
    <r>
      <t>C</t>
    </r>
    <r>
      <rPr>
        <vertAlign val="subscript"/>
        <sz val="10"/>
        <rFont val="Gill Sans MT"/>
        <family val="2"/>
      </rPr>
      <t>s</t>
    </r>
  </si>
  <si>
    <t>Statistical Analiysis</t>
  </si>
  <si>
    <t>Return Period</t>
  </si>
  <si>
    <t>Parameters</t>
  </si>
  <si>
    <t>Log normal</t>
  </si>
  <si>
    <t>Log Pearsion III</t>
  </si>
  <si>
    <t>Gumbel</t>
  </si>
  <si>
    <t>p</t>
  </si>
  <si>
    <t>w</t>
  </si>
  <si>
    <t>z</t>
  </si>
  <si>
    <r>
      <t>X</t>
    </r>
    <r>
      <rPr>
        <vertAlign val="subscript"/>
        <sz val="10"/>
        <rFont val="Gill Sans MT"/>
        <family val="2"/>
      </rPr>
      <t>T</t>
    </r>
  </si>
  <si>
    <t>X</t>
  </si>
  <si>
    <r>
      <t>K</t>
    </r>
    <r>
      <rPr>
        <vertAlign val="subscript"/>
        <sz val="10"/>
        <rFont val="Gill Sans MT"/>
        <family val="2"/>
      </rPr>
      <t>T</t>
    </r>
  </si>
  <si>
    <t>yT</t>
  </si>
  <si>
    <t>xT</t>
  </si>
  <si>
    <t>CALCULATION FORM</t>
  </si>
  <si>
    <t>Job:</t>
  </si>
  <si>
    <t xml:space="preserve">Date: </t>
  </si>
  <si>
    <t>Page</t>
  </si>
  <si>
    <t>Subject:</t>
  </si>
  <si>
    <t xml:space="preserve"> Flood Frequency Analysis</t>
  </si>
  <si>
    <t>Job No:</t>
  </si>
  <si>
    <t>Calc. By:</t>
  </si>
  <si>
    <t>Drg no:</t>
  </si>
  <si>
    <t>Chkd. By:</t>
  </si>
  <si>
    <t>Recommended By:</t>
  </si>
  <si>
    <t>Approved By:</t>
  </si>
  <si>
    <t>River:</t>
  </si>
  <si>
    <t>Refernce:  Applied Hydrology by VT Chow</t>
  </si>
  <si>
    <t xml:space="preserve">Station No. </t>
  </si>
  <si>
    <t xml:space="preserve">Location: </t>
  </si>
  <si>
    <t>Total Catchment Area:</t>
  </si>
  <si>
    <t>Km2</t>
  </si>
  <si>
    <t>Area below 5000 m:</t>
  </si>
  <si>
    <t>61/62</t>
  </si>
  <si>
    <t>62/63</t>
  </si>
  <si>
    <t>63/64</t>
  </si>
  <si>
    <t>64/65</t>
  </si>
  <si>
    <t>65/66</t>
  </si>
  <si>
    <t>66/67</t>
  </si>
  <si>
    <t>67/68</t>
  </si>
  <si>
    <t>68/69</t>
  </si>
  <si>
    <t>69/70</t>
  </si>
  <si>
    <t>71/72</t>
  </si>
  <si>
    <t>72/73</t>
  </si>
  <si>
    <t>73/74</t>
  </si>
  <si>
    <t>74/75</t>
  </si>
  <si>
    <t>75/76</t>
  </si>
  <si>
    <t>76/77</t>
  </si>
  <si>
    <t>77/78</t>
  </si>
  <si>
    <t>78/79</t>
  </si>
  <si>
    <t>Andhi Khola</t>
  </si>
  <si>
    <t>Andhi Khola Intake</t>
  </si>
  <si>
    <t>XT</t>
  </si>
  <si>
    <t>KT</t>
  </si>
  <si>
    <t>(log(x)-avg.log(x))^3</t>
  </si>
  <si>
    <t>(log(x)-avg.log(x))^2</t>
  </si>
  <si>
    <t>Method</t>
  </si>
  <si>
    <t>Flood flows</t>
  </si>
  <si>
    <t>1 in 2-yr</t>
  </si>
  <si>
    <t>1 in 10-yr</t>
  </si>
  <si>
    <t>1 in 20-yr</t>
  </si>
  <si>
    <t>1 in 100-yr</t>
  </si>
  <si>
    <t>Log Normal</t>
  </si>
  <si>
    <t>Log Pearson Type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</si>
</sst>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Gill Sans MT"/>
      <family val="2"/>
    </font>
    <font>
      <sz val="10"/>
      <name val="Gill Sans MT"/>
      <family val="2"/>
    </font>
    <font>
      <vertAlign val="subscript"/>
      <sz val="10"/>
      <name val="Gill Sans MT"/>
      <family val="2"/>
    </font>
    <font>
      <sz val="8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  <font>
      <b/>
      <sz val="11"/>
      <color theme="1"/>
      <name val="Gill Sans MT"/>
      <family val="2"/>
    </font>
    <font>
      <sz val="10"/>
      <color theme="1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FBFBF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3" fillId="0" borderId="0" xfId="1" applyFont="1"/>
    <xf numFmtId="0" fontId="3" fillId="0" borderId="6" xfId="1" applyFont="1" applyBorder="1"/>
    <xf numFmtId="164" fontId="3" fillId="0" borderId="7" xfId="1" applyNumberFormat="1" applyFont="1" applyBorder="1"/>
    <xf numFmtId="0" fontId="3" fillId="0" borderId="3" xfId="1" applyFont="1" applyBorder="1"/>
    <xf numFmtId="0" fontId="3" fillId="0" borderId="8" xfId="1" applyFont="1" applyBorder="1"/>
    <xf numFmtId="164" fontId="3" fillId="0" borderId="9" xfId="1" applyNumberFormat="1" applyFont="1" applyBorder="1"/>
    <xf numFmtId="164" fontId="3" fillId="0" borderId="10" xfId="1" applyNumberFormat="1" applyFont="1" applyBorder="1"/>
    <xf numFmtId="0" fontId="3" fillId="0" borderId="11" xfId="1" applyFont="1" applyBorder="1"/>
    <xf numFmtId="0" fontId="3" fillId="0" borderId="12" xfId="1" applyFont="1" applyBorder="1"/>
    <xf numFmtId="164" fontId="3" fillId="0" borderId="13" xfId="1" applyNumberFormat="1" applyFont="1" applyBorder="1"/>
    <xf numFmtId="164" fontId="3" fillId="0" borderId="4" xfId="1" applyNumberFormat="1" applyFont="1" applyBorder="1"/>
    <xf numFmtId="0" fontId="3" fillId="0" borderId="5" xfId="1" applyFont="1" applyBorder="1"/>
    <xf numFmtId="0" fontId="2" fillId="0" borderId="0" xfId="1" applyFont="1" applyBorder="1" applyAlignment="1"/>
    <xf numFmtId="0" fontId="5" fillId="0" borderId="0" xfId="1" applyFont="1"/>
    <xf numFmtId="0" fontId="2" fillId="0" borderId="0" xfId="1" applyFont="1" applyBorder="1" applyAlignment="1">
      <alignment horizontal="center"/>
    </xf>
    <xf numFmtId="0" fontId="3" fillId="0" borderId="16" xfId="1" applyFont="1" applyFill="1" applyBorder="1" applyAlignment="1">
      <alignment horizontal="center"/>
    </xf>
    <xf numFmtId="0" fontId="3" fillId="0" borderId="17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164" fontId="3" fillId="0" borderId="14" xfId="1" applyNumberFormat="1" applyFont="1" applyFill="1" applyBorder="1" applyAlignment="1">
      <alignment horizontal="center"/>
    </xf>
    <xf numFmtId="164" fontId="3" fillId="0" borderId="10" xfId="1" applyNumberFormat="1" applyFont="1" applyFill="1" applyBorder="1" applyAlignment="1">
      <alignment horizontal="center"/>
    </xf>
    <xf numFmtId="2" fontId="2" fillId="0" borderId="10" xfId="1" applyNumberFormat="1" applyFont="1" applyFill="1" applyBorder="1" applyAlignment="1">
      <alignment horizontal="center"/>
    </xf>
    <xf numFmtId="2" fontId="3" fillId="0" borderId="10" xfId="1" applyNumberFormat="1" applyFont="1" applyFill="1" applyBorder="1" applyAlignment="1">
      <alignment horizontal="center"/>
    </xf>
    <xf numFmtId="0" fontId="3" fillId="0" borderId="18" xfId="1" applyFont="1" applyFill="1" applyBorder="1" applyAlignment="1">
      <alignment horizontal="center"/>
    </xf>
    <xf numFmtId="164" fontId="3" fillId="0" borderId="19" xfId="1" applyNumberFormat="1" applyFont="1" applyFill="1" applyBorder="1" applyAlignment="1">
      <alignment horizontal="center"/>
    </xf>
    <xf numFmtId="0" fontId="3" fillId="0" borderId="20" xfId="1" applyFont="1" applyFill="1" applyBorder="1" applyAlignment="1">
      <alignment horizontal="center"/>
    </xf>
    <xf numFmtId="0" fontId="6" fillId="0" borderId="0" xfId="0" applyFont="1"/>
    <xf numFmtId="0" fontId="2" fillId="0" borderId="10" xfId="1" applyFont="1" applyBorder="1"/>
    <xf numFmtId="0" fontId="2" fillId="0" borderId="10" xfId="1" applyFont="1" applyBorder="1" applyAlignment="1">
      <alignment horizontal="center"/>
    </xf>
    <xf numFmtId="0" fontId="6" fillId="0" borderId="10" xfId="0" applyFont="1" applyBorder="1"/>
    <xf numFmtId="0" fontId="3" fillId="3" borderId="20" xfId="1" applyFont="1" applyFill="1" applyBorder="1" applyAlignment="1">
      <alignment horizontal="center"/>
    </xf>
    <xf numFmtId="164" fontId="3" fillId="3" borderId="10" xfId="1" applyNumberFormat="1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2" fontId="2" fillId="3" borderId="10" xfId="1" applyNumberFormat="1" applyFont="1" applyFill="1" applyBorder="1" applyAlignment="1">
      <alignment horizontal="center"/>
    </xf>
    <xf numFmtId="2" fontId="3" fillId="3" borderId="10" xfId="1" applyNumberFormat="1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/>
    <xf numFmtId="14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/>
    <xf numFmtId="15" fontId="2" fillId="0" borderId="0" xfId="1" applyNumberFormat="1" applyFont="1"/>
    <xf numFmtId="15" fontId="3" fillId="0" borderId="0" xfId="1" applyNumberFormat="1" applyFont="1"/>
    <xf numFmtId="0" fontId="9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15" fontId="3" fillId="2" borderId="0" xfId="1" applyNumberFormat="1" applyFont="1" applyFill="1" applyAlignment="1">
      <alignment horizontal="left"/>
    </xf>
    <xf numFmtId="165" fontId="9" fillId="2" borderId="0" xfId="0" applyNumberFormat="1" applyFont="1" applyFill="1" applyAlignment="1">
      <alignment horizontal="left"/>
    </xf>
    <xf numFmtId="1" fontId="9" fillId="2" borderId="0" xfId="0" applyNumberFormat="1" applyFont="1" applyFill="1" applyAlignment="1">
      <alignment horizontal="left"/>
    </xf>
    <xf numFmtId="1" fontId="6" fillId="0" borderId="10" xfId="0" applyNumberFormat="1" applyFont="1" applyBorder="1"/>
    <xf numFmtId="2" fontId="6" fillId="0" borderId="10" xfId="0" applyNumberFormat="1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20" xfId="0" applyFont="1" applyBorder="1"/>
    <xf numFmtId="0" fontId="6" fillId="0" borderId="11" xfId="0" applyFont="1" applyBorder="1"/>
    <xf numFmtId="2" fontId="6" fillId="0" borderId="20" xfId="0" applyNumberFormat="1" applyFont="1" applyBorder="1"/>
    <xf numFmtId="2" fontId="6" fillId="0" borderId="11" xfId="0" applyNumberFormat="1" applyFont="1" applyBorder="1"/>
    <xf numFmtId="2" fontId="6" fillId="0" borderId="24" xfId="0" applyNumberFormat="1" applyFont="1" applyBorder="1"/>
    <xf numFmtId="2" fontId="6" fillId="0" borderId="4" xfId="0" applyNumberFormat="1" applyFont="1" applyBorder="1"/>
    <xf numFmtId="2" fontId="6" fillId="0" borderId="5" xfId="0" applyNumberFormat="1" applyFont="1" applyBorder="1"/>
    <xf numFmtId="0" fontId="6" fillId="0" borderId="19" xfId="0" applyFont="1" applyBorder="1" applyAlignment="1"/>
    <xf numFmtId="0" fontId="6" fillId="0" borderId="9" xfId="0" applyFont="1" applyBorder="1" applyAlignment="1"/>
    <xf numFmtId="0" fontId="6" fillId="0" borderId="21" xfId="0" applyFont="1" applyBorder="1" applyAlignment="1"/>
    <xf numFmtId="2" fontId="6" fillId="0" borderId="0" xfId="0" applyNumberFormat="1" applyFont="1"/>
    <xf numFmtId="1" fontId="6" fillId="0" borderId="0" xfId="0" applyNumberFormat="1" applyFont="1"/>
    <xf numFmtId="0" fontId="8" fillId="4" borderId="30" xfId="0" applyFont="1" applyFill="1" applyBorder="1" applyAlignment="1">
      <alignment horizontal="justify" vertical="center" wrapText="1"/>
    </xf>
    <xf numFmtId="0" fontId="6" fillId="0" borderId="27" xfId="0" applyFont="1" applyBorder="1" applyAlignment="1">
      <alignment horizontal="justify" vertical="center" wrapText="1"/>
    </xf>
    <xf numFmtId="0" fontId="6" fillId="0" borderId="30" xfId="0" applyFont="1" applyBorder="1" applyAlignment="1">
      <alignment horizontal="justify" vertical="center" wrapText="1"/>
    </xf>
    <xf numFmtId="0" fontId="8" fillId="0" borderId="0" xfId="0" applyFont="1" applyAlignment="1">
      <alignment horizontal="left" vertical="center"/>
    </xf>
    <xf numFmtId="0" fontId="2" fillId="0" borderId="0" xfId="1" applyFont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 vertical="center"/>
    </xf>
    <xf numFmtId="0" fontId="2" fillId="0" borderId="15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8" fillId="4" borderId="26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'Flood flow JHC'!$B$18:$B$34</c:f>
              <c:numCache>
                <c:formatCode>0</c:formatCode>
                <c:ptCount val="17"/>
                <c:pt idx="0">
                  <c:v>677</c:v>
                </c:pt>
                <c:pt idx="1">
                  <c:v>384</c:v>
                </c:pt>
                <c:pt idx="2">
                  <c:v>271.95999999999998</c:v>
                </c:pt>
                <c:pt idx="3">
                  <c:v>352.71</c:v>
                </c:pt>
                <c:pt idx="4">
                  <c:v>608.23</c:v>
                </c:pt>
                <c:pt idx="5">
                  <c:v>605.34096113561941</c:v>
                </c:pt>
                <c:pt idx="6">
                  <c:v>457.35379101939577</c:v>
                </c:pt>
                <c:pt idx="7">
                  <c:v>304.13130211547116</c:v>
                </c:pt>
                <c:pt idx="8">
                  <c:v>355.2005861549826</c:v>
                </c:pt>
                <c:pt idx="9">
                  <c:v>342.97479709870277</c:v>
                </c:pt>
                <c:pt idx="10">
                  <c:v>444.4478028878425</c:v>
                </c:pt>
                <c:pt idx="11">
                  <c:v>833.36258669458846</c:v>
                </c:pt>
                <c:pt idx="12">
                  <c:v>146.65182172114402</c:v>
                </c:pt>
                <c:pt idx="13">
                  <c:v>147.06541642943768</c:v>
                </c:pt>
                <c:pt idx="14">
                  <c:v>185.01522320413784</c:v>
                </c:pt>
                <c:pt idx="15">
                  <c:v>185.01522320413784</c:v>
                </c:pt>
                <c:pt idx="16">
                  <c:v>136.16135268845147</c:v>
                </c:pt>
              </c:numCache>
            </c:numRef>
          </c:xVal>
          <c:yVal>
            <c:numRef>
              <c:f>'Flood flow JHC'!$C$18:$C$34</c:f>
              <c:numCache>
                <c:formatCode>General</c:formatCode>
                <c:ptCount val="17"/>
                <c:pt idx="0">
                  <c:v>2.8305886686851442</c:v>
                </c:pt>
                <c:pt idx="1">
                  <c:v>2.5843312243675309</c:v>
                </c:pt>
                <c:pt idx="2">
                  <c:v>2.4345050325020732</c:v>
                </c:pt>
                <c:pt idx="3">
                  <c:v>2.5474177729174277</c:v>
                </c:pt>
                <c:pt idx="4">
                  <c:v>2.784067837237147</c:v>
                </c:pt>
                <c:pt idx="5">
                  <c:v>2.7820000619735046</c:v>
                </c:pt>
                <c:pt idx="6">
                  <c:v>2.6602522833160673</c:v>
                </c:pt>
                <c:pt idx="7">
                  <c:v>2.4830611213490381</c:v>
                </c:pt>
                <c:pt idx="8">
                  <c:v>2.5504736737835465</c:v>
                </c:pt>
                <c:pt idx="9">
                  <c:v>2.5352622078471256</c:v>
                </c:pt>
                <c:pt idx="10">
                  <c:v>2.6478207636214681</c:v>
                </c:pt>
                <c:pt idx="11">
                  <c:v>2.9208339991728365</c:v>
                </c:pt>
                <c:pt idx="12">
                  <c:v>2.1662874621923054</c:v>
                </c:pt>
                <c:pt idx="13">
                  <c:v>2.1675105570260227</c:v>
                </c:pt>
                <c:pt idx="14">
                  <c:v>2.2672074639789743</c:v>
                </c:pt>
                <c:pt idx="15">
                  <c:v>2.2672074639789743</c:v>
                </c:pt>
                <c:pt idx="16">
                  <c:v>2.1340538572397203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5-4F2B-9300-86718A458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742495"/>
        <c:axId val="1657759791"/>
      </c:scatterChart>
      <c:valAx>
        <c:axId val="125774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59791"/>
        <c:crosses val="autoZero"/>
        <c:crossBetween val="midCat"/>
      </c:valAx>
      <c:valAx>
        <c:axId val="16577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4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529167</xdr:colOff>
      <xdr:row>2</xdr:row>
      <xdr:rowOff>24130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19250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306917</xdr:colOff>
      <xdr:row>8</xdr:row>
      <xdr:rowOff>116417</xdr:rowOff>
    </xdr:from>
    <xdr:to>
      <xdr:col>20</xdr:col>
      <xdr:colOff>201084</xdr:colOff>
      <xdr:row>25</xdr:row>
      <xdr:rowOff>137584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view="pageBreakPreview" topLeftCell="A15" zoomScale="90" zoomScaleNormal="100" zoomScaleSheetLayoutView="90" workbookViewId="0">
      <selection activeCell="B18" sqref="B18:B34"/>
    </sheetView>
  </sheetViews>
  <sheetFormatPr defaultRowHeight="17.25" x14ac:dyDescent="0.35"/>
  <cols>
    <col min="1" max="1" width="16.28515625" style="28" customWidth="1"/>
    <col min="2" max="2" width="10.85546875" style="28" customWidth="1"/>
    <col min="3" max="3" width="9.42578125" style="28" customWidth="1"/>
    <col min="4" max="16384" width="9.140625" style="28"/>
  </cols>
  <sheetData>
    <row r="1" spans="1:11" x14ac:dyDescent="0.35">
      <c r="A1" s="37"/>
      <c r="B1" s="37"/>
      <c r="C1" s="37"/>
      <c r="D1" s="37"/>
      <c r="E1" s="37"/>
      <c r="F1" s="37"/>
      <c r="G1" s="37"/>
      <c r="H1" s="38"/>
      <c r="I1" s="38"/>
      <c r="J1" s="38"/>
      <c r="K1" s="38"/>
    </row>
    <row r="2" spans="1:11" x14ac:dyDescent="0.35">
      <c r="A2" s="37"/>
      <c r="B2" s="37"/>
      <c r="C2" s="37"/>
      <c r="D2" s="37"/>
      <c r="E2" s="37"/>
      <c r="F2" s="37"/>
      <c r="G2" s="37"/>
      <c r="H2" s="38"/>
      <c r="I2" s="38"/>
      <c r="J2" s="38"/>
      <c r="K2" s="39"/>
    </row>
    <row r="3" spans="1:11" x14ac:dyDescent="0.35">
      <c r="A3" s="40" t="s">
        <v>25</v>
      </c>
      <c r="B3" s="37"/>
      <c r="C3" s="40"/>
      <c r="D3" s="40"/>
      <c r="E3" s="40"/>
      <c r="F3" s="40"/>
      <c r="G3" s="40"/>
      <c r="H3" s="41"/>
      <c r="I3" s="41"/>
      <c r="J3" s="38"/>
      <c r="K3" s="39"/>
    </row>
    <row r="4" spans="1:11" x14ac:dyDescent="0.35">
      <c r="A4" s="42" t="s">
        <v>26</v>
      </c>
      <c r="B4" s="40"/>
      <c r="C4" s="40"/>
      <c r="D4" s="43"/>
      <c r="E4" s="42" t="s">
        <v>27</v>
      </c>
      <c r="F4" s="44">
        <f ca="1">TODAY()</f>
        <v>44969</v>
      </c>
      <c r="G4" s="43"/>
      <c r="H4" s="75" t="s">
        <v>28</v>
      </c>
      <c r="I4" s="75"/>
      <c r="J4" s="42"/>
      <c r="K4" s="45"/>
    </row>
    <row r="5" spans="1:11" x14ac:dyDescent="0.35">
      <c r="A5" s="42" t="s">
        <v>29</v>
      </c>
      <c r="B5" s="40" t="s">
        <v>30</v>
      </c>
      <c r="C5" s="40"/>
      <c r="D5" s="43"/>
      <c r="E5" s="46" t="s">
        <v>31</v>
      </c>
      <c r="F5" s="46"/>
      <c r="G5" s="43"/>
      <c r="H5" s="75" t="s">
        <v>32</v>
      </c>
      <c r="I5" s="75"/>
      <c r="J5" s="46"/>
      <c r="K5" s="47"/>
    </row>
    <row r="6" spans="1:11" x14ac:dyDescent="0.35">
      <c r="A6" s="40"/>
      <c r="B6" s="40"/>
      <c r="C6" s="40"/>
      <c r="D6" s="43"/>
      <c r="E6" s="40" t="s">
        <v>33</v>
      </c>
      <c r="F6" s="40"/>
      <c r="G6" s="43"/>
      <c r="H6" s="75" t="s">
        <v>34</v>
      </c>
      <c r="I6" s="75"/>
      <c r="J6" s="42"/>
      <c r="K6" s="38"/>
    </row>
    <row r="7" spans="1:11" x14ac:dyDescent="0.35">
      <c r="A7" s="37"/>
      <c r="B7" s="37"/>
      <c r="C7" s="37"/>
      <c r="D7" s="43"/>
      <c r="E7" s="37"/>
      <c r="F7" s="37"/>
      <c r="G7" s="43"/>
      <c r="H7" s="42" t="s">
        <v>35</v>
      </c>
      <c r="I7" s="38"/>
      <c r="J7" s="43"/>
      <c r="K7" s="38"/>
    </row>
    <row r="8" spans="1:11" x14ac:dyDescent="0.35">
      <c r="A8" s="37"/>
      <c r="B8" s="37"/>
      <c r="C8" s="37"/>
      <c r="D8" s="37"/>
      <c r="E8" s="37"/>
      <c r="F8" s="43"/>
      <c r="G8" s="43"/>
      <c r="H8" s="42" t="s">
        <v>36</v>
      </c>
      <c r="I8" s="38"/>
      <c r="J8" s="43"/>
      <c r="K8" s="38"/>
    </row>
    <row r="9" spans="1:11" x14ac:dyDescent="0.35">
      <c r="A9" s="48"/>
      <c r="B9" s="49"/>
      <c r="C9" s="50"/>
      <c r="D9" s="1"/>
      <c r="E9" s="1"/>
      <c r="F9" s="1"/>
      <c r="G9" s="1"/>
      <c r="H9" s="14"/>
      <c r="I9" s="14"/>
      <c r="J9" s="14"/>
      <c r="K9" s="14"/>
    </row>
    <row r="10" spans="1:11" x14ac:dyDescent="0.35">
      <c r="A10" s="48" t="s">
        <v>37</v>
      </c>
      <c r="B10" s="49"/>
      <c r="C10" s="53" t="s">
        <v>61</v>
      </c>
      <c r="D10" s="1"/>
      <c r="E10" s="1"/>
      <c r="F10" s="1" t="s">
        <v>38</v>
      </c>
      <c r="G10" s="14"/>
      <c r="H10" s="14"/>
      <c r="I10" s="14"/>
      <c r="J10" s="14"/>
      <c r="K10" s="14"/>
    </row>
    <row r="11" spans="1:11" x14ac:dyDescent="0.35">
      <c r="A11" s="48" t="s">
        <v>39</v>
      </c>
      <c r="B11" s="48"/>
      <c r="C11" s="54"/>
      <c r="D11" s="48"/>
      <c r="E11" s="48"/>
      <c r="H11" s="14"/>
      <c r="I11" s="14"/>
      <c r="J11" s="14"/>
      <c r="K11" s="14"/>
    </row>
    <row r="12" spans="1:11" x14ac:dyDescent="0.35">
      <c r="A12" s="48" t="s">
        <v>40</v>
      </c>
      <c r="B12" s="48"/>
      <c r="C12" s="55" t="s">
        <v>62</v>
      </c>
      <c r="D12" s="48"/>
      <c r="E12" s="48"/>
      <c r="H12" s="14"/>
      <c r="I12" s="14"/>
      <c r="J12" s="14"/>
      <c r="K12" s="14"/>
    </row>
    <row r="13" spans="1:11" x14ac:dyDescent="0.35">
      <c r="A13" s="48" t="s">
        <v>41</v>
      </c>
      <c r="B13" s="48"/>
      <c r="C13" s="54">
        <v>444</v>
      </c>
      <c r="D13" s="48" t="s">
        <v>42</v>
      </c>
      <c r="E13" s="51"/>
      <c r="F13" s="52"/>
      <c r="G13" s="14"/>
      <c r="H13" s="14"/>
      <c r="I13" s="14"/>
      <c r="J13" s="14"/>
      <c r="K13" s="14"/>
    </row>
    <row r="14" spans="1:11" x14ac:dyDescent="0.35">
      <c r="A14" s="48" t="s">
        <v>43</v>
      </c>
      <c r="B14" s="48"/>
      <c r="C14" s="54">
        <v>0</v>
      </c>
      <c r="D14" s="48" t="s">
        <v>42</v>
      </c>
      <c r="E14" s="51"/>
      <c r="F14" s="52"/>
      <c r="H14" s="14"/>
      <c r="I14" s="14"/>
      <c r="J14" s="14"/>
      <c r="K14" s="14"/>
    </row>
    <row r="16" spans="1:11" x14ac:dyDescent="0.35">
      <c r="A16" s="29" t="s">
        <v>0</v>
      </c>
      <c r="B16" s="29" t="s">
        <v>1</v>
      </c>
      <c r="C16" s="29"/>
    </row>
    <row r="17" spans="1:5" x14ac:dyDescent="0.35">
      <c r="A17" s="29"/>
      <c r="B17" s="30" t="s">
        <v>2</v>
      </c>
      <c r="C17" s="29" t="s">
        <v>3</v>
      </c>
      <c r="D17" s="28" t="s">
        <v>66</v>
      </c>
      <c r="E17" s="28" t="s">
        <v>65</v>
      </c>
    </row>
    <row r="18" spans="1:5" x14ac:dyDescent="0.35">
      <c r="A18" s="31" t="s">
        <v>44</v>
      </c>
      <c r="B18" s="56">
        <v>677</v>
      </c>
      <c r="C18" s="31">
        <f>LOG(B18)</f>
        <v>2.8305886686851442</v>
      </c>
      <c r="D18" s="28">
        <f>(C18-$C$38)^2</f>
        <v>9.9303799601355616E-2</v>
      </c>
      <c r="E18" s="28">
        <f>(C18-$C$38)^3</f>
        <v>3.1293115202778096E-2</v>
      </c>
    </row>
    <row r="19" spans="1:5" x14ac:dyDescent="0.35">
      <c r="A19" s="31" t="s">
        <v>45</v>
      </c>
      <c r="B19" s="56">
        <v>384</v>
      </c>
      <c r="C19" s="31">
        <f t="shared" ref="C19:C34" si="0">LOG(B19)</f>
        <v>2.5843312243675309</v>
      </c>
      <c r="D19" s="28">
        <f t="shared" ref="D19:D34" si="1">(C19-$C$38)^2</f>
        <v>4.7427476508765561E-3</v>
      </c>
      <c r="E19" s="28">
        <f t="shared" ref="E19:E34" si="2">(C19-$C$38)^3</f>
        <v>3.2662169361257908E-4</v>
      </c>
    </row>
    <row r="20" spans="1:5" x14ac:dyDescent="0.35">
      <c r="A20" s="31" t="s">
        <v>46</v>
      </c>
      <c r="B20" s="56">
        <v>271.95999999999998</v>
      </c>
      <c r="C20" s="31">
        <f t="shared" si="0"/>
        <v>2.4345050325020732</v>
      </c>
      <c r="D20" s="28">
        <f t="shared" si="1"/>
        <v>6.5542920437747518E-3</v>
      </c>
      <c r="E20" s="28">
        <f t="shared" si="2"/>
        <v>-5.3062619167209104E-4</v>
      </c>
    </row>
    <row r="21" spans="1:5" x14ac:dyDescent="0.35">
      <c r="A21" s="31" t="s">
        <v>47</v>
      </c>
      <c r="B21" s="56">
        <v>352.71</v>
      </c>
      <c r="C21" s="31">
        <f t="shared" si="0"/>
        <v>2.5474177729174277</v>
      </c>
      <c r="D21" s="28">
        <f t="shared" si="1"/>
        <v>1.0210682225389824E-3</v>
      </c>
      <c r="E21" s="28">
        <f t="shared" si="2"/>
        <v>3.2627375456382664E-5</v>
      </c>
    </row>
    <row r="22" spans="1:5" x14ac:dyDescent="0.35">
      <c r="A22" s="31" t="s">
        <v>48</v>
      </c>
      <c r="B22" s="56">
        <v>608.23</v>
      </c>
      <c r="C22" s="31">
        <f t="shared" si="0"/>
        <v>2.784067837237147</v>
      </c>
      <c r="D22" s="28">
        <f t="shared" si="1"/>
        <v>7.2148228324054986E-2</v>
      </c>
      <c r="E22" s="28">
        <f t="shared" si="2"/>
        <v>1.9379318770945207E-2</v>
      </c>
    </row>
    <row r="23" spans="1:5" x14ac:dyDescent="0.35">
      <c r="A23" s="31" t="s">
        <v>49</v>
      </c>
      <c r="B23" s="56">
        <v>605.34096113561941</v>
      </c>
      <c r="C23" s="31">
        <f t="shared" si="0"/>
        <v>2.7820000619735046</v>
      </c>
      <c r="D23" s="28">
        <f t="shared" si="1"/>
        <v>7.1041677684765034E-2</v>
      </c>
      <c r="E23" s="28">
        <f t="shared" si="2"/>
        <v>1.8935196373060428E-2</v>
      </c>
    </row>
    <row r="24" spans="1:5" x14ac:dyDescent="0.35">
      <c r="A24" s="31" t="s">
        <v>50</v>
      </c>
      <c r="B24" s="56">
        <v>457.35379101939577</v>
      </c>
      <c r="C24" s="31">
        <f t="shared" si="0"/>
        <v>2.6602522833160673</v>
      </c>
      <c r="D24" s="28">
        <f t="shared" si="1"/>
        <v>2.0963758537658111E-2</v>
      </c>
      <c r="E24" s="28">
        <f t="shared" si="2"/>
        <v>3.0353146862667972E-3</v>
      </c>
    </row>
    <row r="25" spans="1:5" x14ac:dyDescent="0.35">
      <c r="A25" s="31" t="s">
        <v>51</v>
      </c>
      <c r="B25" s="56">
        <v>304.13130211547116</v>
      </c>
      <c r="C25" s="31">
        <f t="shared" si="0"/>
        <v>2.4830611213490381</v>
      </c>
      <c r="D25" s="28">
        <f t="shared" si="1"/>
        <v>1.0499215802725304E-3</v>
      </c>
      <c r="E25" s="28">
        <f t="shared" si="2"/>
        <v>-3.4020077103415289E-5</v>
      </c>
    </row>
    <row r="26" spans="1:5" x14ac:dyDescent="0.35">
      <c r="A26" s="31" t="s">
        <v>52</v>
      </c>
      <c r="B26" s="56">
        <v>355.2005861549826</v>
      </c>
      <c r="C26" s="31">
        <f t="shared" si="0"/>
        <v>2.5504736737835465</v>
      </c>
      <c r="D26" s="28">
        <f t="shared" si="1"/>
        <v>1.2257042317246137E-3</v>
      </c>
      <c r="E26" s="28">
        <f t="shared" si="2"/>
        <v>4.2911977478700937E-5</v>
      </c>
    </row>
    <row r="27" spans="1:5" x14ac:dyDescent="0.35">
      <c r="A27" s="31" t="s">
        <v>53</v>
      </c>
      <c r="B27" s="56">
        <v>342.97479709870277</v>
      </c>
      <c r="C27" s="31">
        <f t="shared" si="0"/>
        <v>2.5352622078471256</v>
      </c>
      <c r="D27" s="28">
        <f t="shared" si="1"/>
        <v>3.919842876032206E-4</v>
      </c>
      <c r="E27" s="28">
        <f t="shared" si="2"/>
        <v>7.7607374006024821E-6</v>
      </c>
    </row>
    <row r="28" spans="1:5" x14ac:dyDescent="0.35">
      <c r="A28" s="31" t="s">
        <v>54</v>
      </c>
      <c r="B28" s="56">
        <v>444.4478028878425</v>
      </c>
      <c r="C28" s="31">
        <f t="shared" si="0"/>
        <v>2.6478207636214681</v>
      </c>
      <c r="D28" s="28">
        <f t="shared" si="1"/>
        <v>1.7518414850549512E-2</v>
      </c>
      <c r="E28" s="28">
        <f t="shared" si="2"/>
        <v>2.3186874419140247E-3</v>
      </c>
    </row>
    <row r="29" spans="1:5" x14ac:dyDescent="0.35">
      <c r="A29" s="31" t="s">
        <v>55</v>
      </c>
      <c r="B29" s="56">
        <v>833.36258669458846</v>
      </c>
      <c r="C29" s="31">
        <f t="shared" si="0"/>
        <v>2.9208339991728365</v>
      </c>
      <c r="D29" s="28">
        <f t="shared" si="1"/>
        <v>0.16432514854618632</v>
      </c>
      <c r="E29" s="28">
        <f t="shared" si="2"/>
        <v>6.6612548632264665E-2</v>
      </c>
    </row>
    <row r="30" spans="1:5" x14ac:dyDescent="0.35">
      <c r="A30" s="31" t="s">
        <v>56</v>
      </c>
      <c r="B30" s="56">
        <v>146.65182172114402</v>
      </c>
      <c r="C30" s="31">
        <f t="shared" si="0"/>
        <v>2.1662874621923054</v>
      </c>
      <c r="D30" s="28">
        <f t="shared" si="1"/>
        <v>0.12192398553302466</v>
      </c>
      <c r="E30" s="28">
        <f t="shared" si="2"/>
        <v>-4.2572948176069436E-2</v>
      </c>
    </row>
    <row r="31" spans="1:5" x14ac:dyDescent="0.35">
      <c r="A31" s="31" t="s">
        <v>57</v>
      </c>
      <c r="B31" s="56">
        <v>147.06541642943768</v>
      </c>
      <c r="C31" s="31">
        <f t="shared" si="0"/>
        <v>2.1675105570260227</v>
      </c>
      <c r="D31" s="28">
        <f t="shared" si="1"/>
        <v>0.12107133039743256</v>
      </c>
      <c r="E31" s="28">
        <f t="shared" si="2"/>
        <v>-4.2127139617622433E-2</v>
      </c>
    </row>
    <row r="32" spans="1:5" x14ac:dyDescent="0.35">
      <c r="A32" s="31" t="s">
        <v>58</v>
      </c>
      <c r="B32" s="56">
        <v>185.01522320413784</v>
      </c>
      <c r="C32" s="31">
        <f t="shared" si="0"/>
        <v>2.2672074639789743</v>
      </c>
      <c r="D32" s="28">
        <f t="shared" si="1"/>
        <v>6.1631116408465317E-2</v>
      </c>
      <c r="E32" s="28">
        <f t="shared" si="2"/>
        <v>-1.5300303728877808E-2</v>
      </c>
    </row>
    <row r="33" spans="1:11" x14ac:dyDescent="0.35">
      <c r="A33" s="31" t="s">
        <v>59</v>
      </c>
      <c r="B33" s="56">
        <v>185.01522320413784</v>
      </c>
      <c r="C33" s="31">
        <f t="shared" si="0"/>
        <v>2.2672074639789743</v>
      </c>
      <c r="D33" s="28">
        <f t="shared" si="1"/>
        <v>6.1631116408465317E-2</v>
      </c>
      <c r="E33" s="28">
        <f t="shared" si="2"/>
        <v>-1.5300303728877808E-2</v>
      </c>
    </row>
    <row r="34" spans="1:11" x14ac:dyDescent="0.35">
      <c r="A34" s="31" t="s">
        <v>60</v>
      </c>
      <c r="B34" s="56">
        <v>136.16135268845147</v>
      </c>
      <c r="C34" s="31">
        <f t="shared" si="0"/>
        <v>2.1340538572397203</v>
      </c>
      <c r="D34" s="28">
        <f t="shared" si="1"/>
        <v>0.14547340314374504</v>
      </c>
      <c r="E34" s="28">
        <f t="shared" si="2"/>
        <v>-5.5484975421006826E-2</v>
      </c>
    </row>
    <row r="35" spans="1:11" x14ac:dyDescent="0.35">
      <c r="D35" s="28">
        <f>SUM(D18:D34)</f>
        <v>0.972017697452493</v>
      </c>
      <c r="E35" s="28">
        <f>SUM(E18:E34)</f>
        <v>-2.9366214050052346E-2</v>
      </c>
    </row>
    <row r="37" spans="1:11" ht="18" thickBot="1" x14ac:dyDescent="0.4">
      <c r="A37" s="76" t="s">
        <v>4</v>
      </c>
      <c r="B37" s="76"/>
      <c r="C37" s="76"/>
      <c r="D37" s="1"/>
    </row>
    <row r="38" spans="1:11" x14ac:dyDescent="0.35">
      <c r="A38" s="2" t="s">
        <v>5</v>
      </c>
      <c r="B38" s="3">
        <f>AVERAGE($B$18:$B$34)</f>
        <v>378.62475672670075</v>
      </c>
      <c r="C38" s="3">
        <f>AVERAGE($C$18:$C$34)</f>
        <v>2.5154636147758183</v>
      </c>
      <c r="D38" s="4" t="s">
        <v>6</v>
      </c>
    </row>
    <row r="39" spans="1:11" x14ac:dyDescent="0.35">
      <c r="A39" s="5" t="s">
        <v>7</v>
      </c>
      <c r="B39" s="6">
        <f>STDEV($B$18:$B$34)</f>
        <v>204.8016905714702</v>
      </c>
      <c r="C39" s="7">
        <f>STDEV($C$18:$C$34)</f>
        <v>0.24647739468515326</v>
      </c>
      <c r="D39" s="8" t="s">
        <v>8</v>
      </c>
    </row>
    <row r="40" spans="1:11" ht="18" thickBot="1" x14ac:dyDescent="0.4">
      <c r="A40" s="9" t="s">
        <v>9</v>
      </c>
      <c r="B40" s="10">
        <f>SKEW($B$18:$B$34)</f>
        <v>0.74013453953998898</v>
      </c>
      <c r="C40" s="11">
        <f>SKEW($C$18:$C$34)</f>
        <v>-0.13891666719684356</v>
      </c>
      <c r="D40" s="12" t="s">
        <v>10</v>
      </c>
    </row>
    <row r="42" spans="1:11" x14ac:dyDescent="0.35">
      <c r="A42" s="13" t="s">
        <v>11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ht="18" thickBot="1" x14ac:dyDescent="0.4">
      <c r="A43" s="15"/>
      <c r="B43" s="15"/>
      <c r="C43" s="15"/>
      <c r="D43" s="77" t="s">
        <v>61</v>
      </c>
      <c r="E43" s="77"/>
      <c r="F43" s="77"/>
      <c r="G43" s="77"/>
      <c r="H43" s="77"/>
      <c r="I43" s="77"/>
      <c r="J43" s="77"/>
      <c r="K43" s="77"/>
    </row>
    <row r="44" spans="1:11" x14ac:dyDescent="0.35">
      <c r="A44" s="78" t="s">
        <v>12</v>
      </c>
      <c r="B44" s="80" t="s">
        <v>13</v>
      </c>
      <c r="C44" s="81"/>
      <c r="D44" s="82" t="s">
        <v>14</v>
      </c>
      <c r="E44" s="82"/>
      <c r="F44" s="82"/>
      <c r="G44" s="82" t="s">
        <v>15</v>
      </c>
      <c r="H44" s="82"/>
      <c r="I44" s="82"/>
      <c r="J44" s="82" t="s">
        <v>16</v>
      </c>
      <c r="K44" s="82"/>
    </row>
    <row r="45" spans="1:11" ht="18" thickBot="1" x14ac:dyDescent="0.4">
      <c r="A45" s="79"/>
      <c r="B45" s="16" t="s">
        <v>17</v>
      </c>
      <c r="C45" s="17" t="s">
        <v>18</v>
      </c>
      <c r="D45" s="18" t="s">
        <v>19</v>
      </c>
      <c r="E45" s="18" t="s">
        <v>20</v>
      </c>
      <c r="F45" s="18" t="s">
        <v>21</v>
      </c>
      <c r="G45" s="18" t="s">
        <v>22</v>
      </c>
      <c r="H45" s="18" t="s">
        <v>20</v>
      </c>
      <c r="I45" s="18" t="s">
        <v>21</v>
      </c>
      <c r="J45" s="18" t="s">
        <v>23</v>
      </c>
      <c r="K45" s="18" t="s">
        <v>24</v>
      </c>
    </row>
    <row r="46" spans="1:11" ht="18" thickBot="1" x14ac:dyDescent="0.4">
      <c r="A46" s="19">
        <v>1</v>
      </c>
      <c r="B46" s="20">
        <f>1/A46</f>
        <v>1</v>
      </c>
      <c r="C46" s="21">
        <f>SQRT(LN(1/B46^2))</f>
        <v>0</v>
      </c>
      <c r="D46" s="22">
        <f t="shared" ref="D46:D56" si="3">C46-((2.51557+0.80285*C46+0.010328*C46^2)/(1+1.432788*C46+0.189269*C46^2+0.001308*C46^3))</f>
        <v>-2.5155699999999999</v>
      </c>
      <c r="E46" s="22">
        <f>$C$38+D46*$C$39</f>
        <v>1.8954324750276874</v>
      </c>
      <c r="F46" s="23">
        <f>(10)^E46</f>
        <v>78.601797000497271</v>
      </c>
      <c r="G46" s="22">
        <f>D46+(D46^2-1)*($C$40/6)+(D46^3-6*D46)*($C$40/6)^2/3-(D46^2-1)*($C$40/6)^3+D46*($C$40/6)^4+1/3*($C$40)^5</f>
        <v>-2.6390294550849442</v>
      </c>
      <c r="H46" s="22">
        <f>$C$38+G46*$C$39</f>
        <v>1.8650025101891017</v>
      </c>
      <c r="I46" s="23">
        <f>(10)^H46</f>
        <v>73.282876882125692</v>
      </c>
      <c r="J46" s="24"/>
      <c r="K46" s="23"/>
    </row>
    <row r="47" spans="1:11" x14ac:dyDescent="0.35">
      <c r="A47" s="19">
        <v>2</v>
      </c>
      <c r="B47" s="20">
        <f>1/A47</f>
        <v>0.5</v>
      </c>
      <c r="C47" s="21">
        <f>SQRT(LN(1/B47^2))</f>
        <v>1.1774100225154747</v>
      </c>
      <c r="D47" s="22">
        <f t="shared" si="3"/>
        <v>-1.6861240179411041E-5</v>
      </c>
      <c r="E47" s="22">
        <f t="shared" ref="E47:E56" si="4">$C$38+D47*$C$39</f>
        <v>2.5154594588612675</v>
      </c>
      <c r="F47" s="23">
        <f>(10)^E47</f>
        <v>327.68718596806769</v>
      </c>
      <c r="G47" s="22">
        <f t="shared" ref="G47:G56" si="5">D47+(D47^2-1)*($C$40/6)+(D47^3-6*D47)*($C$40/6)^2/3-(D47^2-1)*($C$40/6)^3+D47*($C$40/6)^4+1/3*($C$40)^5</f>
        <v>2.3106279122278434E-2</v>
      </c>
      <c r="H47" s="22">
        <f t="shared" ref="H47:H56" si="6">$C$38+G47*$C$39</f>
        <v>2.5211587902547454</v>
      </c>
      <c r="I47" s="23">
        <f>(10)^H47</f>
        <v>332.01582967090218</v>
      </c>
      <c r="J47" s="24">
        <f t="shared" ref="J47:J56" si="7">-LN(LN(A47/(A47-1)))</f>
        <v>0.36651292058166435</v>
      </c>
      <c r="K47" s="23">
        <f>B$38-(0.577*SQRT(6)*B$39/PI())+(SQRT(6)*B$39/PI())*J47</f>
        <v>345.01350147988819</v>
      </c>
    </row>
    <row r="48" spans="1:11" x14ac:dyDescent="0.35">
      <c r="A48" s="25">
        <v>2.33</v>
      </c>
      <c r="B48" s="22">
        <f>1/A48</f>
        <v>0.42918454935622319</v>
      </c>
      <c r="C48" s="26">
        <f>SQRT(LN(1/B48^2))</f>
        <v>1.3006677266524369</v>
      </c>
      <c r="D48" s="22">
        <f t="shared" si="3"/>
        <v>0.17808428211113303</v>
      </c>
      <c r="E48" s="22">
        <f t="shared" si="4"/>
        <v>2.5593573646649461</v>
      </c>
      <c r="F48" s="23">
        <f>(10)^E48</f>
        <v>362.54119728570771</v>
      </c>
      <c r="G48" s="22">
        <f t="shared" si="5"/>
        <v>0.20028366632643085</v>
      </c>
      <c r="H48" s="22">
        <f t="shared" si="6"/>
        <v>2.5648290110499476</v>
      </c>
      <c r="I48" s="23">
        <f>(10)^H48</f>
        <v>367.13772381974104</v>
      </c>
      <c r="J48" s="24">
        <f t="shared" si="7"/>
        <v>0.57858831412193601</v>
      </c>
      <c r="K48" s="23">
        <f t="shared" ref="K48:K56" si="8">B$38-(0.577*SQRT(6)*B$39/PI())+(SQRT(6)*B$39/PI())*J48</f>
        <v>378.87838384486889</v>
      </c>
    </row>
    <row r="49" spans="1:11" x14ac:dyDescent="0.35">
      <c r="A49" s="27">
        <v>5</v>
      </c>
      <c r="B49" s="22">
        <f>1/A49</f>
        <v>0.2</v>
      </c>
      <c r="C49" s="26">
        <f>SQRT(LN(1/B49^2))</f>
        <v>1.7941225779941015</v>
      </c>
      <c r="D49" s="22">
        <f t="shared" si="3"/>
        <v>0.84144534566621687</v>
      </c>
      <c r="E49" s="22">
        <f t="shared" si="4"/>
        <v>2.7228608713455755</v>
      </c>
      <c r="F49" s="23">
        <f>(10)^E49</f>
        <v>528.27598851127607</v>
      </c>
      <c r="G49" s="22">
        <f t="shared" si="5"/>
        <v>0.84738896833910127</v>
      </c>
      <c r="H49" s="22">
        <f t="shared" si="6"/>
        <v>2.7243258399769799</v>
      </c>
      <c r="I49" s="23">
        <f>(10)^H49</f>
        <v>530.06098586143492</v>
      </c>
      <c r="J49" s="24">
        <f t="shared" si="7"/>
        <v>1.4999399867595156</v>
      </c>
      <c r="K49" s="23">
        <f t="shared" si="8"/>
        <v>526.0027884718719</v>
      </c>
    </row>
    <row r="50" spans="1:11" x14ac:dyDescent="0.35">
      <c r="A50" s="27">
        <v>10</v>
      </c>
      <c r="B50" s="22">
        <f>1/A50</f>
        <v>0.1</v>
      </c>
      <c r="C50" s="26">
        <f>SQRT(LN(1/B50^2))</f>
        <v>2.1459660262893472</v>
      </c>
      <c r="D50" s="22">
        <f t="shared" si="3"/>
        <v>1.2817193675751226</v>
      </c>
      <c r="E50" s="22">
        <f t="shared" si="4"/>
        <v>2.8313784652132368</v>
      </c>
      <c r="F50" s="23">
        <f>(10)^E50</f>
        <v>678.23229457271793</v>
      </c>
      <c r="G50" s="22">
        <f t="shared" si="5"/>
        <v>1.2658298633877825</v>
      </c>
      <c r="H50" s="22">
        <f t="shared" si="6"/>
        <v>2.8274620616183022</v>
      </c>
      <c r="I50" s="23">
        <f>(10)^H50</f>
        <v>672.14359053469445</v>
      </c>
      <c r="J50" s="24">
        <f t="shared" si="7"/>
        <v>2.2503673273124449</v>
      </c>
      <c r="K50" s="23">
        <f t="shared" si="8"/>
        <v>645.83344485806151</v>
      </c>
    </row>
    <row r="51" spans="1:11" x14ac:dyDescent="0.35">
      <c r="A51" s="27">
        <v>20</v>
      </c>
      <c r="B51" s="22">
        <f t="shared" ref="B51:B56" si="9">1/A51</f>
        <v>0.05</v>
      </c>
      <c r="C51" s="26">
        <f t="shared" ref="C51:C56" si="10">SQRT(LN(1/B51^2))</f>
        <v>2.4477468306808166</v>
      </c>
      <c r="D51" s="22">
        <f t="shared" si="3"/>
        <v>1.6452033739823797</v>
      </c>
      <c r="E51" s="22">
        <f t="shared" si="4"/>
        <v>2.9209690561222192</v>
      </c>
      <c r="F51" s="23">
        <f t="shared" ref="F51:F56" si="11">(10)^E51</f>
        <v>833.62178619128713</v>
      </c>
      <c r="G51" s="22">
        <f t="shared" si="5"/>
        <v>1.6047249372475587</v>
      </c>
      <c r="H51" s="22">
        <f t="shared" si="6"/>
        <v>2.9109920364948927</v>
      </c>
      <c r="I51" s="23">
        <f t="shared" ref="I51:I56" si="12">(10)^H51</f>
        <v>814.68934521200322</v>
      </c>
      <c r="J51" s="24">
        <f t="shared" si="7"/>
        <v>2.9701952490421655</v>
      </c>
      <c r="K51" s="23">
        <f t="shared" si="8"/>
        <v>760.77788742384428</v>
      </c>
    </row>
    <row r="52" spans="1:11" x14ac:dyDescent="0.35">
      <c r="A52" s="27">
        <v>50</v>
      </c>
      <c r="B52" s="22">
        <f t="shared" si="9"/>
        <v>0.02</v>
      </c>
      <c r="C52" s="26">
        <f t="shared" si="10"/>
        <v>2.7971496225365371</v>
      </c>
      <c r="D52" s="22">
        <f t="shared" si="3"/>
        <v>2.0541817439773808</v>
      </c>
      <c r="E52" s="22">
        <f t="shared" si="4"/>
        <v>3.0217729792411676</v>
      </c>
      <c r="F52" s="23">
        <f t="shared" si="11"/>
        <v>1051.4121206380519</v>
      </c>
      <c r="G52" s="22">
        <f t="shared" si="5"/>
        <v>1.9790074446623702</v>
      </c>
      <c r="H52" s="22">
        <f t="shared" si="6"/>
        <v>3.0032442137987219</v>
      </c>
      <c r="I52" s="23">
        <f>(10)^H52</f>
        <v>1007.498048970807</v>
      </c>
      <c r="J52" s="24">
        <f t="shared" si="7"/>
        <v>3.9019386579358333</v>
      </c>
      <c r="K52" s="23">
        <f t="shared" si="8"/>
        <v>909.56167798905369</v>
      </c>
    </row>
    <row r="53" spans="1:11" x14ac:dyDescent="0.35">
      <c r="A53" s="32">
        <v>100</v>
      </c>
      <c r="B53" s="33">
        <f t="shared" si="9"/>
        <v>0.01</v>
      </c>
      <c r="C53" s="34">
        <f t="shared" si="10"/>
        <v>3.0348542587702929</v>
      </c>
      <c r="D53" s="33">
        <f t="shared" si="3"/>
        <v>2.3267791744716506</v>
      </c>
      <c r="E53" s="33">
        <f t="shared" si="4"/>
        <v>3.0889620837072624</v>
      </c>
      <c r="F53" s="35">
        <f t="shared" si="11"/>
        <v>1227.3320736521355</v>
      </c>
      <c r="G53" s="33">
        <f t="shared" si="5"/>
        <v>2.2243796279485628</v>
      </c>
      <c r="H53" s="33">
        <f t="shared" si="6"/>
        <v>3.0637229102633103</v>
      </c>
      <c r="I53" s="35">
        <f>(10)^H53</f>
        <v>1158.0382657043008</v>
      </c>
      <c r="J53" s="36">
        <f t="shared" si="7"/>
        <v>4.6001492267765736</v>
      </c>
      <c r="K53" s="35">
        <f t="shared" si="8"/>
        <v>1021.0541919722374</v>
      </c>
    </row>
    <row r="54" spans="1:11" x14ac:dyDescent="0.35">
      <c r="A54" s="27">
        <v>200</v>
      </c>
      <c r="B54" s="22">
        <f t="shared" si="9"/>
        <v>5.0000000000000001E-3</v>
      </c>
      <c r="C54" s="26">
        <f t="shared" si="10"/>
        <v>3.2552472614374586</v>
      </c>
      <c r="D54" s="22">
        <f t="shared" si="3"/>
        <v>2.5762304772515181</v>
      </c>
      <c r="E54" s="22">
        <f t="shared" si="4"/>
        <v>3.1504461909172612</v>
      </c>
      <c r="F54" s="23">
        <f t="shared" si="11"/>
        <v>1413.9895209264603</v>
      </c>
      <c r="G54" s="22">
        <f t="shared" si="5"/>
        <v>2.4460657843529634</v>
      </c>
      <c r="H54" s="22">
        <f t="shared" si="6"/>
        <v>3.1183635365316325</v>
      </c>
      <c r="I54" s="23">
        <f t="shared" si="12"/>
        <v>1313.2987670257062</v>
      </c>
      <c r="J54" s="24">
        <f t="shared" si="7"/>
        <v>5.295812142535044</v>
      </c>
      <c r="K54" s="23">
        <f t="shared" si="8"/>
        <v>1132.1398885000926</v>
      </c>
    </row>
    <row r="55" spans="1:11" x14ac:dyDescent="0.35">
      <c r="A55" s="27">
        <v>500</v>
      </c>
      <c r="B55" s="22">
        <f t="shared" si="9"/>
        <v>2E-3</v>
      </c>
      <c r="C55" s="26">
        <f t="shared" si="10"/>
        <v>3.5255093528232742</v>
      </c>
      <c r="D55" s="22">
        <f t="shared" si="3"/>
        <v>2.8785010937925581</v>
      </c>
      <c r="E55" s="22">
        <f t="shared" si="4"/>
        <v>3.2249490649721722</v>
      </c>
      <c r="F55" s="23">
        <f t="shared" si="11"/>
        <v>1678.6071357794933</v>
      </c>
      <c r="G55" s="22">
        <f t="shared" si="5"/>
        <v>2.7110649849325279</v>
      </c>
      <c r="H55" s="22">
        <f t="shared" si="6"/>
        <v>3.183679849084132</v>
      </c>
      <c r="I55" s="23">
        <f t="shared" si="12"/>
        <v>1526.440390105081</v>
      </c>
      <c r="J55" s="24">
        <f t="shared" si="7"/>
        <v>6.213607264087516</v>
      </c>
      <c r="K55" s="23">
        <f t="shared" si="8"/>
        <v>1278.6963715869695</v>
      </c>
    </row>
    <row r="56" spans="1:11" x14ac:dyDescent="0.35">
      <c r="A56" s="27">
        <v>1000</v>
      </c>
      <c r="B56" s="22">
        <f t="shared" si="9"/>
        <v>1E-3</v>
      </c>
      <c r="C56" s="26">
        <f t="shared" si="10"/>
        <v>3.7169221888498383</v>
      </c>
      <c r="D56" s="22">
        <f t="shared" si="3"/>
        <v>3.090517579776618</v>
      </c>
      <c r="E56" s="22">
        <f t="shared" si="4"/>
        <v>3.2772063360678243</v>
      </c>
      <c r="F56" s="23">
        <f t="shared" si="11"/>
        <v>1893.2428967314434</v>
      </c>
      <c r="G56" s="22">
        <f t="shared" si="5"/>
        <v>2.8945821465199524</v>
      </c>
      <c r="H56" s="22">
        <f t="shared" si="6"/>
        <v>3.2289126809522148</v>
      </c>
      <c r="I56" s="23">
        <f t="shared" si="12"/>
        <v>1693.9971719168091</v>
      </c>
      <c r="J56" s="24">
        <f t="shared" si="7"/>
        <v>6.907255070523628</v>
      </c>
      <c r="K56" s="23">
        <f t="shared" si="8"/>
        <v>1389.4602889634812</v>
      </c>
    </row>
    <row r="57" spans="1:11" x14ac:dyDescent="0.35">
      <c r="I57" s="70"/>
    </row>
  </sheetData>
  <mergeCells count="10">
    <mergeCell ref="A44:A45"/>
    <mergeCell ref="B44:C44"/>
    <mergeCell ref="D44:F44"/>
    <mergeCell ref="G44:I44"/>
    <mergeCell ref="J44:K44"/>
    <mergeCell ref="H6:I6"/>
    <mergeCell ref="H4:I4"/>
    <mergeCell ref="H5:I5"/>
    <mergeCell ref="A37:C37"/>
    <mergeCell ref="D43:K43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J14" sqref="J14"/>
    </sheetView>
  </sheetViews>
  <sheetFormatPr defaultRowHeight="15" x14ac:dyDescent="0.25"/>
  <sheetData>
    <row r="1" spans="1:11" ht="18" thickBot="1" x14ac:dyDescent="0.3">
      <c r="A1" s="83" t="s">
        <v>67</v>
      </c>
      <c r="B1" s="85" t="s">
        <v>68</v>
      </c>
      <c r="C1" s="86"/>
      <c r="D1" s="86"/>
      <c r="E1" s="87"/>
      <c r="G1" s="83" t="s">
        <v>67</v>
      </c>
      <c r="H1" s="85" t="s">
        <v>68</v>
      </c>
      <c r="I1" s="86"/>
      <c r="J1" s="86"/>
      <c r="K1" s="87"/>
    </row>
    <row r="2" spans="1:11" ht="35.25" thickBot="1" x14ac:dyDescent="0.3">
      <c r="A2" s="84"/>
      <c r="B2" s="72" t="s">
        <v>69</v>
      </c>
      <c r="C2" s="72" t="s">
        <v>70</v>
      </c>
      <c r="D2" s="72" t="s">
        <v>71</v>
      </c>
      <c r="E2" s="72" t="s">
        <v>72</v>
      </c>
      <c r="G2" s="84"/>
      <c r="H2" s="72" t="s">
        <v>69</v>
      </c>
      <c r="I2" s="72" t="s">
        <v>70</v>
      </c>
      <c r="J2" s="72" t="s">
        <v>71</v>
      </c>
      <c r="K2" s="72" t="s">
        <v>72</v>
      </c>
    </row>
    <row r="3" spans="1:11" ht="35.25" thickBot="1" x14ac:dyDescent="0.3">
      <c r="A3" s="73" t="s">
        <v>73</v>
      </c>
      <c r="B3" s="74">
        <v>561</v>
      </c>
      <c r="C3" s="74">
        <v>907</v>
      </c>
      <c r="D3" s="74">
        <v>1005</v>
      </c>
      <c r="E3" s="74">
        <v>1189</v>
      </c>
      <c r="G3" s="73" t="s">
        <v>73</v>
      </c>
      <c r="H3" s="74">
        <v>328</v>
      </c>
      <c r="I3" s="74">
        <v>678</v>
      </c>
      <c r="J3" s="74">
        <v>834</v>
      </c>
      <c r="K3" s="74">
        <v>1227</v>
      </c>
    </row>
    <row r="4" spans="1:11" ht="52.5" thickBot="1" x14ac:dyDescent="0.3">
      <c r="A4" s="73" t="s">
        <v>74</v>
      </c>
      <c r="B4" s="74">
        <v>507</v>
      </c>
      <c r="C4" s="74">
        <v>893</v>
      </c>
      <c r="D4" s="74">
        <v>1052</v>
      </c>
      <c r="E4" s="74">
        <v>1434</v>
      </c>
      <c r="G4" s="73" t="s">
        <v>74</v>
      </c>
      <c r="H4" s="74">
        <v>332</v>
      </c>
      <c r="I4" s="74">
        <v>672</v>
      </c>
      <c r="J4" s="74">
        <v>815</v>
      </c>
      <c r="K4" s="74">
        <v>1158</v>
      </c>
    </row>
    <row r="5" spans="1:11" ht="18" thickBot="1" x14ac:dyDescent="0.3">
      <c r="A5" s="73" t="s">
        <v>16</v>
      </c>
      <c r="B5" s="74">
        <v>516</v>
      </c>
      <c r="C5" s="74">
        <v>863</v>
      </c>
      <c r="D5" s="74">
        <v>996</v>
      </c>
      <c r="E5" s="74">
        <v>1297</v>
      </c>
      <c r="G5" s="73" t="s">
        <v>16</v>
      </c>
      <c r="H5" s="74">
        <v>345</v>
      </c>
      <c r="I5" s="74">
        <v>646</v>
      </c>
      <c r="J5" s="74">
        <v>761</v>
      </c>
      <c r="K5" s="74">
        <v>1021</v>
      </c>
    </row>
  </sheetData>
  <mergeCells count="4">
    <mergeCell ref="A1:A2"/>
    <mergeCell ref="B1:E1"/>
    <mergeCell ref="G1:G2"/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L2" zoomScale="115" zoomScaleNormal="115" workbookViewId="0">
      <selection activeCell="Q3" sqref="Q3"/>
    </sheetView>
  </sheetViews>
  <sheetFormatPr defaultRowHeight="15" x14ac:dyDescent="0.25"/>
  <cols>
    <col min="1" max="1" width="16.28515625" customWidth="1"/>
    <col min="2" max="2" width="10.85546875" customWidth="1"/>
    <col min="3" max="3" width="9.42578125" customWidth="1"/>
    <col min="4" max="5" width="9.28515625" bestFit="1" customWidth="1"/>
    <col min="6" max="6" width="9.42578125" bestFit="1" customWidth="1"/>
    <col min="7" max="8" width="9.28515625" bestFit="1" customWidth="1"/>
    <col min="9" max="9" width="9.42578125" bestFit="1" customWidth="1"/>
    <col min="10" max="10" width="9.28515625" bestFit="1" customWidth="1"/>
    <col min="11" max="11" width="9.42578125" bestFit="1" customWidth="1"/>
    <col min="14" max="14" width="18.140625" customWidth="1"/>
  </cols>
  <sheetData>
    <row r="1" spans="1:18" ht="17.25" x14ac:dyDescent="0.35">
      <c r="A1" s="58"/>
      <c r="B1" s="59"/>
      <c r="C1" s="59"/>
      <c r="D1" s="88" t="s">
        <v>61</v>
      </c>
      <c r="E1" s="89"/>
      <c r="F1" s="89"/>
      <c r="G1" s="89"/>
      <c r="H1" s="89"/>
      <c r="I1" s="89"/>
      <c r="J1" s="89"/>
      <c r="K1" s="90"/>
    </row>
    <row r="2" spans="1:18" ht="17.25" x14ac:dyDescent="0.35">
      <c r="A2" s="60" t="s">
        <v>12</v>
      </c>
      <c r="B2" s="31" t="s">
        <v>13</v>
      </c>
      <c r="C2" s="31"/>
      <c r="D2" s="91" t="s">
        <v>14</v>
      </c>
      <c r="E2" s="92"/>
      <c r="F2" s="93"/>
      <c r="G2" s="91" t="s">
        <v>15</v>
      </c>
      <c r="H2" s="92"/>
      <c r="I2" s="93"/>
      <c r="J2" s="91" t="s">
        <v>16</v>
      </c>
      <c r="K2" s="94"/>
    </row>
    <row r="3" spans="1:18" ht="17.25" x14ac:dyDescent="0.35">
      <c r="A3" s="60"/>
      <c r="B3" s="31" t="s">
        <v>17</v>
      </c>
      <c r="C3" s="31" t="s">
        <v>18</v>
      </c>
      <c r="D3" s="31" t="s">
        <v>19</v>
      </c>
      <c r="E3" s="31" t="s">
        <v>63</v>
      </c>
      <c r="F3" s="31" t="s">
        <v>21</v>
      </c>
      <c r="G3" s="31" t="s">
        <v>64</v>
      </c>
      <c r="H3" s="31" t="s">
        <v>63</v>
      </c>
      <c r="I3" s="31" t="s">
        <v>21</v>
      </c>
      <c r="J3" s="31" t="s">
        <v>23</v>
      </c>
      <c r="K3" s="61" t="s">
        <v>24</v>
      </c>
    </row>
    <row r="4" spans="1:18" ht="17.25" x14ac:dyDescent="0.35">
      <c r="A4" s="62">
        <v>1</v>
      </c>
      <c r="B4" s="57">
        <v>1</v>
      </c>
      <c r="C4" s="57">
        <v>0</v>
      </c>
      <c r="D4" s="57">
        <v>-2.5155699999999999</v>
      </c>
      <c r="E4" s="57">
        <v>1.8954324750276874</v>
      </c>
      <c r="F4" s="57">
        <v>78.601797000497271</v>
      </c>
      <c r="G4" s="57">
        <v>-2.6390294550849442</v>
      </c>
      <c r="H4" s="57">
        <v>1.8650025101891017</v>
      </c>
      <c r="I4" s="57">
        <v>73.282876882125692</v>
      </c>
      <c r="J4" s="57"/>
      <c r="K4" s="63"/>
      <c r="N4" s="28" t="s">
        <v>12</v>
      </c>
      <c r="O4" s="28">
        <v>2</v>
      </c>
      <c r="P4" s="28">
        <v>10</v>
      </c>
      <c r="Q4" s="28">
        <v>20</v>
      </c>
      <c r="R4" s="28">
        <v>100</v>
      </c>
    </row>
    <row r="5" spans="1:18" ht="17.25" x14ac:dyDescent="0.35">
      <c r="A5" s="62">
        <v>2</v>
      </c>
      <c r="B5" s="57">
        <v>0.5</v>
      </c>
      <c r="C5" s="57">
        <v>1.1774100225154747</v>
      </c>
      <c r="D5" s="57">
        <v>-1.6861240179411041E-5</v>
      </c>
      <c r="E5" s="57">
        <v>2.5154594588612675</v>
      </c>
      <c r="F5" s="57">
        <v>327.68718596806769</v>
      </c>
      <c r="G5" s="57">
        <v>2.3106279122278434E-2</v>
      </c>
      <c r="H5" s="57">
        <v>2.5211587902547454</v>
      </c>
      <c r="I5" s="57">
        <v>332.01582967090218</v>
      </c>
      <c r="J5" s="57">
        <v>0.36651292058166435</v>
      </c>
      <c r="K5" s="63">
        <v>345.01350147988819</v>
      </c>
      <c r="N5" s="28" t="s">
        <v>14</v>
      </c>
      <c r="O5" s="71">
        <v>327.68718596806769</v>
      </c>
      <c r="P5" s="71">
        <v>678.23229457271793</v>
      </c>
      <c r="Q5" s="71">
        <v>833.62178619128713</v>
      </c>
      <c r="R5" s="71">
        <v>1227.3320736521355</v>
      </c>
    </row>
    <row r="6" spans="1:18" ht="17.25" x14ac:dyDescent="0.35">
      <c r="A6" s="62">
        <v>2.33</v>
      </c>
      <c r="B6" s="57">
        <v>0.42918454935622319</v>
      </c>
      <c r="C6" s="57">
        <v>1.3006677266524369</v>
      </c>
      <c r="D6" s="57">
        <v>0.17808428211113303</v>
      </c>
      <c r="E6" s="57">
        <v>2.5593573646649461</v>
      </c>
      <c r="F6" s="57">
        <v>362.54119728570771</v>
      </c>
      <c r="G6" s="57">
        <v>0.20028366632643085</v>
      </c>
      <c r="H6" s="57">
        <v>2.5648290110499476</v>
      </c>
      <c r="I6" s="57">
        <v>367.13772381974104</v>
      </c>
      <c r="J6" s="57">
        <v>0.57858831412193601</v>
      </c>
      <c r="K6" s="63">
        <v>378.87838384486889</v>
      </c>
      <c r="N6" s="28" t="s">
        <v>15</v>
      </c>
      <c r="O6" s="71">
        <v>332.01582967090218</v>
      </c>
      <c r="P6" s="71">
        <v>672.14359053469445</v>
      </c>
      <c r="Q6" s="71">
        <v>814.68934521200322</v>
      </c>
      <c r="R6" s="71">
        <v>1158.0382657043008</v>
      </c>
    </row>
    <row r="7" spans="1:18" ht="17.25" x14ac:dyDescent="0.35">
      <c r="A7" s="62">
        <v>5</v>
      </c>
      <c r="B7" s="57">
        <v>0.2</v>
      </c>
      <c r="C7" s="57">
        <v>1.7941225779941015</v>
      </c>
      <c r="D7" s="57">
        <v>0.84144534566621687</v>
      </c>
      <c r="E7" s="57">
        <v>2.7228608713455755</v>
      </c>
      <c r="F7" s="57">
        <v>528.27598851127607</v>
      </c>
      <c r="G7" s="57">
        <v>0.84738896833910127</v>
      </c>
      <c r="H7" s="57">
        <v>2.7243258399769799</v>
      </c>
      <c r="I7" s="57">
        <v>530.06098586143492</v>
      </c>
      <c r="J7" s="57">
        <v>1.4999399867595156</v>
      </c>
      <c r="K7" s="63">
        <v>526.0027884718719</v>
      </c>
      <c r="N7" s="28" t="s">
        <v>16</v>
      </c>
      <c r="O7" s="71">
        <v>345.01350147988819</v>
      </c>
      <c r="P7" s="71">
        <v>645.83344485806151</v>
      </c>
      <c r="Q7" s="71">
        <v>760.77788742384428</v>
      </c>
      <c r="R7" s="71">
        <v>1021.0541919722374</v>
      </c>
    </row>
    <row r="8" spans="1:18" ht="17.25" x14ac:dyDescent="0.35">
      <c r="A8" s="62">
        <v>10</v>
      </c>
      <c r="B8" s="57">
        <v>0.1</v>
      </c>
      <c r="C8" s="57">
        <v>2.1459660262893472</v>
      </c>
      <c r="D8" s="57">
        <v>1.2817193675751226</v>
      </c>
      <c r="E8" s="57">
        <v>2.8313784652132368</v>
      </c>
      <c r="F8" s="57">
        <v>678.23229457271793</v>
      </c>
      <c r="G8" s="57">
        <v>1.2658298633877825</v>
      </c>
      <c r="H8" s="57">
        <v>2.8274620616183022</v>
      </c>
      <c r="I8" s="57">
        <v>672.14359053469445</v>
      </c>
      <c r="J8" s="57">
        <v>2.2503673273124449</v>
      </c>
      <c r="K8" s="63">
        <v>645.83344485806151</v>
      </c>
    </row>
    <row r="9" spans="1:18" ht="17.25" x14ac:dyDescent="0.35">
      <c r="A9" s="62">
        <v>20</v>
      </c>
      <c r="B9" s="57">
        <v>0.05</v>
      </c>
      <c r="C9" s="57">
        <v>2.4477468306808166</v>
      </c>
      <c r="D9" s="57">
        <v>1.6452033739823797</v>
      </c>
      <c r="E9" s="57">
        <v>2.9209690561222192</v>
      </c>
      <c r="F9" s="57">
        <v>833.62178619128713</v>
      </c>
      <c r="G9" s="57">
        <v>1.6047249372475587</v>
      </c>
      <c r="H9" s="57">
        <v>2.9109920364948927</v>
      </c>
      <c r="I9" s="57">
        <v>814.68934521200322</v>
      </c>
      <c r="J9" s="57">
        <v>2.9701952490421655</v>
      </c>
      <c r="K9" s="63">
        <v>760.77788742384428</v>
      </c>
    </row>
    <row r="10" spans="1:18" ht="17.25" x14ac:dyDescent="0.35">
      <c r="A10" s="62">
        <v>50</v>
      </c>
      <c r="B10" s="57">
        <v>0.02</v>
      </c>
      <c r="C10" s="57">
        <v>2.7971496225365371</v>
      </c>
      <c r="D10" s="57">
        <v>2.0541817439773808</v>
      </c>
      <c r="E10" s="57">
        <v>3.0217729792411676</v>
      </c>
      <c r="F10" s="57">
        <v>1051.4121206380519</v>
      </c>
      <c r="G10" s="57">
        <v>1.9790074446623702</v>
      </c>
      <c r="H10" s="57">
        <v>3.0032442137987219</v>
      </c>
      <c r="I10" s="57">
        <v>1007.498048970807</v>
      </c>
      <c r="J10" s="57">
        <v>3.9019386579358333</v>
      </c>
      <c r="K10" s="63">
        <v>909.56167798905369</v>
      </c>
    </row>
    <row r="11" spans="1:18" ht="17.25" x14ac:dyDescent="0.35">
      <c r="A11" s="62">
        <v>100</v>
      </c>
      <c r="B11" s="57">
        <v>0.01</v>
      </c>
      <c r="C11" s="57">
        <v>3.0348542587702929</v>
      </c>
      <c r="D11" s="57">
        <v>2.3267791744716506</v>
      </c>
      <c r="E11" s="57">
        <v>3.0889620837072624</v>
      </c>
      <c r="F11" s="57">
        <v>1227.3320736521355</v>
      </c>
      <c r="G11" s="57">
        <v>2.2243796279485628</v>
      </c>
      <c r="H11" s="57">
        <v>3.0637229102633103</v>
      </c>
      <c r="I11" s="57">
        <v>1158.0382657043008</v>
      </c>
      <c r="J11" s="57">
        <v>4.6001492267765736</v>
      </c>
      <c r="K11" s="63">
        <v>1021.0541919722374</v>
      </c>
    </row>
    <row r="12" spans="1:18" ht="17.25" x14ac:dyDescent="0.35">
      <c r="A12" s="62">
        <v>200</v>
      </c>
      <c r="B12" s="57">
        <v>5.0000000000000001E-3</v>
      </c>
      <c r="C12" s="57">
        <v>3.2552472614374586</v>
      </c>
      <c r="D12" s="57">
        <v>2.5762304772515181</v>
      </c>
      <c r="E12" s="57">
        <v>3.1504461909172612</v>
      </c>
      <c r="F12" s="57">
        <v>1413.9895209264603</v>
      </c>
      <c r="G12" s="57">
        <v>2.4460657843529634</v>
      </c>
      <c r="H12" s="57">
        <v>3.1183635365316325</v>
      </c>
      <c r="I12" s="57">
        <v>1313.2987670257062</v>
      </c>
      <c r="J12" s="57">
        <v>5.295812142535044</v>
      </c>
      <c r="K12" s="63">
        <v>1132.1398885000926</v>
      </c>
    </row>
    <row r="13" spans="1:18" ht="17.25" x14ac:dyDescent="0.35">
      <c r="A13" s="62">
        <v>500</v>
      </c>
      <c r="B13" s="57">
        <v>2E-3</v>
      </c>
      <c r="C13" s="57">
        <v>3.5255093528232742</v>
      </c>
      <c r="D13" s="57">
        <v>2.8785010937925581</v>
      </c>
      <c r="E13" s="57">
        <v>3.2249490649721722</v>
      </c>
      <c r="F13" s="57">
        <v>1678.6071357794933</v>
      </c>
      <c r="G13" s="57">
        <v>2.7110649849325279</v>
      </c>
      <c r="H13" s="57">
        <v>3.183679849084132</v>
      </c>
      <c r="I13" s="57">
        <v>1526.440390105081</v>
      </c>
      <c r="J13" s="57">
        <v>6.213607264087516</v>
      </c>
      <c r="K13" s="63">
        <v>1278.6963715869695</v>
      </c>
    </row>
    <row r="14" spans="1:18" ht="18" thickBot="1" x14ac:dyDescent="0.4">
      <c r="A14" s="64">
        <v>1000</v>
      </c>
      <c r="B14" s="65">
        <v>1E-3</v>
      </c>
      <c r="C14" s="65">
        <v>3.7169221888498383</v>
      </c>
      <c r="D14" s="65">
        <v>3.090517579776618</v>
      </c>
      <c r="E14" s="65">
        <v>3.2772063360678243</v>
      </c>
      <c r="F14" s="65">
        <v>1893.2428967314434</v>
      </c>
      <c r="G14" s="65">
        <v>2.8945821465199524</v>
      </c>
      <c r="H14" s="65">
        <v>3.2289126809522148</v>
      </c>
      <c r="I14" s="65">
        <v>1693.9971719168091</v>
      </c>
      <c r="J14" s="65">
        <v>6.907255070523628</v>
      </c>
      <c r="K14" s="66">
        <v>1389.4602889634812</v>
      </c>
    </row>
    <row r="17" spans="1:5" ht="17.25" x14ac:dyDescent="0.35">
      <c r="A17" s="60" t="s">
        <v>12</v>
      </c>
      <c r="B17" t="s">
        <v>14</v>
      </c>
      <c r="C17" s="67" t="s">
        <v>15</v>
      </c>
      <c r="D17" s="69" t="s">
        <v>16</v>
      </c>
      <c r="E17" s="68"/>
    </row>
    <row r="18" spans="1:5" ht="17.25" x14ac:dyDescent="0.35">
      <c r="A18" s="62">
        <v>1</v>
      </c>
      <c r="B18" s="57">
        <v>78.601797000497271</v>
      </c>
      <c r="C18" s="57">
        <v>73.282876882125692</v>
      </c>
      <c r="D18" s="63"/>
    </row>
    <row r="19" spans="1:5" ht="17.25" x14ac:dyDescent="0.35">
      <c r="A19" s="62">
        <v>2</v>
      </c>
      <c r="B19" s="57">
        <v>327.68718596806769</v>
      </c>
      <c r="C19" s="57">
        <v>332.01582967090218</v>
      </c>
      <c r="D19" s="63">
        <v>345.01350147988819</v>
      </c>
    </row>
    <row r="20" spans="1:5" ht="17.25" x14ac:dyDescent="0.35">
      <c r="A20" s="62">
        <v>2.33</v>
      </c>
      <c r="B20" s="57">
        <v>362.54119728570771</v>
      </c>
      <c r="C20" s="57">
        <v>367.13772381974104</v>
      </c>
      <c r="D20" s="63">
        <v>378.87838384486889</v>
      </c>
    </row>
    <row r="21" spans="1:5" ht="17.25" x14ac:dyDescent="0.35">
      <c r="A21" s="62">
        <v>5</v>
      </c>
      <c r="B21" s="57">
        <v>528.27598851127607</v>
      </c>
      <c r="C21" s="57">
        <v>530.06098586143492</v>
      </c>
      <c r="D21" s="63">
        <v>526.0027884718719</v>
      </c>
    </row>
    <row r="22" spans="1:5" ht="17.25" x14ac:dyDescent="0.35">
      <c r="A22" s="62">
        <v>10</v>
      </c>
      <c r="B22" s="57">
        <v>678.23229457271793</v>
      </c>
      <c r="C22" s="57">
        <v>672.14359053469445</v>
      </c>
      <c r="D22" s="63">
        <v>645.83344485806151</v>
      </c>
    </row>
    <row r="23" spans="1:5" ht="17.25" x14ac:dyDescent="0.35">
      <c r="A23" s="62">
        <v>20</v>
      </c>
      <c r="B23" s="57">
        <v>833.62178619128713</v>
      </c>
      <c r="C23" s="57">
        <v>814.68934521200322</v>
      </c>
      <c r="D23" s="63">
        <v>760.77788742384428</v>
      </c>
    </row>
    <row r="24" spans="1:5" ht="17.25" x14ac:dyDescent="0.35">
      <c r="A24" s="62">
        <v>50</v>
      </c>
      <c r="B24" s="57">
        <v>1051.4121206380519</v>
      </c>
      <c r="C24" s="57">
        <v>1007.498048970807</v>
      </c>
      <c r="D24" s="63">
        <v>909.56167798905369</v>
      </c>
    </row>
    <row r="25" spans="1:5" ht="17.25" x14ac:dyDescent="0.35">
      <c r="A25" s="62">
        <v>100</v>
      </c>
      <c r="B25" s="57">
        <v>1227.3320736521355</v>
      </c>
      <c r="C25" s="57">
        <v>1158.0382657043008</v>
      </c>
      <c r="D25" s="63">
        <v>1021.0541919722374</v>
      </c>
    </row>
    <row r="26" spans="1:5" ht="17.25" x14ac:dyDescent="0.35">
      <c r="A26" s="62">
        <v>200</v>
      </c>
      <c r="B26" s="57">
        <v>1413.9895209264603</v>
      </c>
      <c r="C26" s="57">
        <v>1313.2987670257062</v>
      </c>
      <c r="D26" s="63">
        <v>1132.1398885000926</v>
      </c>
    </row>
    <row r="27" spans="1:5" ht="17.25" x14ac:dyDescent="0.35">
      <c r="A27" s="62">
        <v>500</v>
      </c>
      <c r="B27" s="57">
        <v>1678.6071357794933</v>
      </c>
      <c r="C27" s="57">
        <v>1526.440390105081</v>
      </c>
      <c r="D27" s="63">
        <v>1278.6963715869695</v>
      </c>
    </row>
    <row r="28" spans="1:5" ht="18" thickBot="1" x14ac:dyDescent="0.4">
      <c r="A28" s="64">
        <v>1000</v>
      </c>
      <c r="B28" s="65">
        <v>1893.2428967314434</v>
      </c>
      <c r="C28" s="65">
        <v>1693.9971719168091</v>
      </c>
      <c r="D28" s="66">
        <v>1389.4602889634812</v>
      </c>
    </row>
  </sheetData>
  <mergeCells count="4">
    <mergeCell ref="D1:K1"/>
    <mergeCell ref="D2:F2"/>
    <mergeCell ref="G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Flood flow JHC</vt:lpstr>
      <vt:lpstr>Sheet2</vt:lpstr>
      <vt:lpstr>Sheet1</vt:lpstr>
      <vt:lpstr>'Flood flow JHC'!Print_Area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dcterms:created xsi:type="dcterms:W3CDTF">2023-01-09T04:14:13Z</dcterms:created>
  <dcterms:modified xsi:type="dcterms:W3CDTF">2023-02-12T09:59:19Z</dcterms:modified>
</cp:coreProperties>
</file>