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charts/chart23.xml" ContentType="application/vnd.openxmlformats-officedocument.drawingml.chart+xml"/>
  <Override PartName="/xl/drawings/drawing23.xml" ContentType="application/vnd.openxmlformats-officedocument.drawingml.chartshapes+xml"/>
  <Override PartName="/xl/charts/chart24.xml" ContentType="application/vnd.openxmlformats-officedocument.drawingml.chart+xml"/>
  <Override PartName="/xl/drawings/drawing24.xml" ContentType="application/vnd.openxmlformats-officedocument.drawingml.chartshapes+xml"/>
  <Override PartName="/xl/charts/chart25.xml" ContentType="application/vnd.openxmlformats-officedocument.drawingml.chart+xml"/>
  <Override PartName="/xl/drawings/drawing25.xml" ContentType="application/vnd.openxmlformats-officedocument.drawingml.chartshapes+xml"/>
  <Override PartName="/xl/charts/chart26.xml" ContentType="application/vnd.openxmlformats-officedocument.drawingml.chart+xml"/>
  <Override PartName="/xl/drawings/drawing26.xml" ContentType="application/vnd.openxmlformats-officedocument.drawingml.chartshape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7.xml" ContentType="application/vnd.openxmlformats-officedocument.drawingml.chartshapes+xml"/>
  <Override PartName="/xl/charts/chart30.xml" ContentType="application/vnd.openxmlformats-officedocument.drawingml.chart+xml"/>
  <Override PartName="/xl/drawings/drawing28.xml" ContentType="application/vnd.openxmlformats-officedocument.drawingml.chartshapes+xml"/>
  <Override PartName="/xl/charts/chart31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drawings/drawing31.xml" ContentType="application/vnd.openxmlformats-officedocument.drawingml.chartshapes+xml"/>
  <Override PartName="/xl/charts/chart33.xml" ContentType="application/vnd.openxmlformats-officedocument.drawingml.chart+xml"/>
  <Override PartName="/xl/drawings/drawing32.xml" ContentType="application/vnd.openxmlformats-officedocument.drawingml.chartshapes+xml"/>
  <Override PartName="/xl/charts/chart34.xml" ContentType="application/vnd.openxmlformats-officedocument.drawingml.chart+xml"/>
  <Override PartName="/xl/drawings/drawing33.xml" ContentType="application/vnd.openxmlformats-officedocument.drawingml.chartshapes+xml"/>
  <Override PartName="/xl/charts/chart35.xml" ContentType="application/vnd.openxmlformats-officedocument.drawingml.chart+xml"/>
  <Override PartName="/xl/drawings/drawing34.xml" ContentType="application/vnd.openxmlformats-officedocument.drawingml.chartshapes+xml"/>
  <Override PartName="/xl/charts/chart36.xml" ContentType="application/vnd.openxmlformats-officedocument.drawingml.chart+xml"/>
  <Override PartName="/xl/drawings/drawing35.xml" ContentType="application/vnd.openxmlformats-officedocument.drawingml.chartshapes+xml"/>
  <Override PartName="/xl/charts/chart37.xml" ContentType="application/vnd.openxmlformats-officedocument.drawingml.chart+xml"/>
  <Override PartName="/xl/drawings/drawing36.xml" ContentType="application/vnd.openxmlformats-officedocument.drawingml.chartshapes+xml"/>
  <Override PartName="/xl/charts/chart3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9.xml" ContentType="application/vnd.openxmlformats-officedocument.drawingml.chart+xml"/>
  <Override PartName="/xl/drawings/drawing37.xml" ContentType="application/vnd.openxmlformats-officedocument.drawingml.chartshapes+xml"/>
  <Override PartName="/xl/charts/chart40.xml" ContentType="application/vnd.openxmlformats-officedocument.drawingml.chart+xml"/>
  <Override PartName="/xl/drawings/drawing38.xml" ContentType="application/vnd.openxmlformats-officedocument.drawingml.chartshapes+xml"/>
  <Override PartName="/xl/charts/chart41.xml" ContentType="application/vnd.openxmlformats-officedocument.drawingml.chart+xml"/>
  <Override PartName="/xl/drawings/drawing39.xml" ContentType="application/vnd.openxmlformats-officedocument.drawingml.chartshapes+xml"/>
  <Override PartName="/xl/charts/chart42.xml" ContentType="application/vnd.openxmlformats-officedocument.drawingml.chart+xml"/>
  <Override PartName="/xl/drawings/drawing40.xml" ContentType="application/vnd.openxmlformats-officedocument.drawingml.chartshapes+xml"/>
  <Override PartName="/xl/charts/chart43.xml" ContentType="application/vnd.openxmlformats-officedocument.drawingml.chart+xml"/>
  <Override PartName="/xl/drawings/drawing41.xml" ContentType="application/vnd.openxmlformats-officedocument.drawingml.chartshapes+xml"/>
  <Override PartName="/xl/charts/chart44.xml" ContentType="application/vnd.openxmlformats-officedocument.drawingml.chart+xml"/>
  <Override PartName="/xl/drawings/drawing42.xml" ContentType="application/vnd.openxmlformats-officedocument.drawingml.chartshapes+xml"/>
  <Override PartName="/xl/charts/chart45.xml" ContentType="application/vnd.openxmlformats-officedocument.drawingml.chart+xml"/>
  <Override PartName="/xl/drawings/drawing43.xml" ContentType="application/vnd.openxmlformats-officedocument.drawingml.chartshapes+xml"/>
  <Override PartName="/xl/charts/chart46.xml" ContentType="application/vnd.openxmlformats-officedocument.drawingml.chart+xml"/>
  <Override PartName="/xl/drawings/drawing44.xml" ContentType="application/vnd.openxmlformats-officedocument.drawingml.chartshapes+xml"/>
  <Override PartName="/xl/charts/chart47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48.xml" ContentType="application/vnd.openxmlformats-officedocument.drawingml.chart+xml"/>
  <Override PartName="/xl/drawings/drawing47.xml" ContentType="application/vnd.openxmlformats-officedocument.drawingml.chartshapes+xml"/>
  <Override PartName="/xl/charts/chart49.xml" ContentType="application/vnd.openxmlformats-officedocument.drawingml.chart+xml"/>
  <Override PartName="/xl/drawings/drawing48.xml" ContentType="application/vnd.openxmlformats-officedocument.drawingml.chartshapes+xml"/>
  <Override PartName="/xl/charts/chart50.xml" ContentType="application/vnd.openxmlformats-officedocument.drawingml.chart+xml"/>
  <Override PartName="/xl/drawings/drawing49.xml" ContentType="application/vnd.openxmlformats-officedocument.drawingml.chartshapes+xml"/>
  <Override PartName="/xl/charts/chart51.xml" ContentType="application/vnd.openxmlformats-officedocument.drawingml.chart+xml"/>
  <Override PartName="/xl/drawings/drawing50.xml" ContentType="application/vnd.openxmlformats-officedocument.drawingml.chartshapes+xml"/>
  <Override PartName="/xl/charts/chart52.xml" ContentType="application/vnd.openxmlformats-officedocument.drawingml.chart+xml"/>
  <Override PartName="/xl/drawings/drawing51.xml" ContentType="application/vnd.openxmlformats-officedocument.drawingml.chartshapes+xml"/>
  <Override PartName="/xl/charts/chart53.xml" ContentType="application/vnd.openxmlformats-officedocument.drawingml.chart+xml"/>
  <Override PartName="/xl/drawings/drawing52.xml" ContentType="application/vnd.openxmlformats-officedocument.drawingml.chartshapes+xml"/>
  <Override PartName="/xl/charts/chart54.xml" ContentType="application/vnd.openxmlformats-officedocument.drawingml.chart+xml"/>
  <Override PartName="/xl/drawings/drawing53.xml" ContentType="application/vnd.openxmlformats-officedocument.drawingml.chartshapes+xml"/>
  <Override PartName="/xl/charts/chart55.xml" ContentType="application/vnd.openxmlformats-officedocument.drawingml.chart+xml"/>
  <Override PartName="/xl/drawings/drawing54.xml" ContentType="application/vnd.openxmlformats-officedocument.drawingml.chartshapes+xml"/>
  <Override PartName="/xl/charts/chart56.xml" ContentType="application/vnd.openxmlformats-officedocument.drawingml.chart+xml"/>
  <Override PartName="/xl/drawings/drawing55.xml" ContentType="application/vnd.openxmlformats-officedocument.drawingml.chartshapes+xml"/>
  <Override PartName="/xl/charts/chart57.xml" ContentType="application/vnd.openxmlformats-officedocument.drawingml.chart+xml"/>
  <Override PartName="/xl/drawings/drawing56.xml" ContentType="application/vnd.openxmlformats-officedocument.drawingml.chartshapes+xml"/>
  <Override PartName="/xl/charts/chart58.xml" ContentType="application/vnd.openxmlformats-officedocument.drawingml.chart+xml"/>
  <Override PartName="/xl/drawings/drawing57.xml" ContentType="application/vnd.openxmlformats-officedocument.drawingml.chartshapes+xml"/>
  <Override PartName="/xl/charts/chart59.xml" ContentType="application/vnd.openxmlformats-officedocument.drawingml.chart+xml"/>
  <Override PartName="/xl/drawings/drawing58.xml" ContentType="application/vnd.openxmlformats-officedocument.drawingml.chartshapes+xml"/>
  <Override PartName="/xl/charts/chart60.xml" ContentType="application/vnd.openxmlformats-officedocument.drawingml.chart+xml"/>
  <Override PartName="/xl/drawings/drawing59.xml" ContentType="application/vnd.openxmlformats-officedocument.drawingml.chartshapes+xml"/>
  <Override PartName="/xl/charts/chart61.xml" ContentType="application/vnd.openxmlformats-officedocument.drawingml.chart+xml"/>
  <Override PartName="/xl/drawings/drawing60.xml" ContentType="application/vnd.openxmlformats-officedocument.drawingml.chartshapes+xml"/>
  <Override PartName="/xl/charts/chart62.xml" ContentType="application/vnd.openxmlformats-officedocument.drawingml.chart+xml"/>
  <Override PartName="/xl/drawings/drawing61.xml" ContentType="application/vnd.openxmlformats-officedocument.drawingml.chartshapes+xml"/>
  <Override PartName="/xl/charts/chart63.xml" ContentType="application/vnd.openxmlformats-officedocument.drawingml.chart+xml"/>
  <Override PartName="/xl/drawings/drawing62.xml" ContentType="application/vnd.openxmlformats-officedocument.drawingml.chartshapes+xml"/>
  <Override PartName="/xl/charts/chart64.xml" ContentType="application/vnd.openxmlformats-officedocument.drawingml.chart+xml"/>
  <Override PartName="/xl/drawings/drawing63.xml" ContentType="application/vnd.openxmlformats-officedocument.drawingml.chartshapes+xml"/>
  <Override PartName="/xl/charts/chart65.xml" ContentType="application/vnd.openxmlformats-officedocument.drawingml.chart+xml"/>
  <Override PartName="/xl/drawings/drawing64.xml" ContentType="application/vnd.openxmlformats-officedocument.drawingml.chartshapes+xml"/>
  <Override PartName="/xl/charts/chart66.xml" ContentType="application/vnd.openxmlformats-officedocument.drawingml.chart+xml"/>
  <Override PartName="/xl/drawings/drawing65.xml" ContentType="application/vnd.openxmlformats-officedocument.drawingml.chartshapes+xml"/>
  <Override PartName="/xl/charts/chart67.xml" ContentType="application/vnd.openxmlformats-officedocument.drawingml.chart+xml"/>
  <Override PartName="/xl/drawings/drawing66.xml" ContentType="application/vnd.openxmlformats-officedocument.drawingml.chartshapes+xml"/>
  <Override PartName="/xl/charts/chart68.xml" ContentType="application/vnd.openxmlformats-officedocument.drawingml.chart+xml"/>
  <Override PartName="/xl/drawings/drawing67.xml" ContentType="application/vnd.openxmlformats-officedocument.drawingml.chartshapes+xml"/>
  <Override PartName="/xl/charts/chart69.xml" ContentType="application/vnd.openxmlformats-officedocument.drawingml.chart+xml"/>
  <Override PartName="/xl/drawings/drawing68.xml" ContentType="application/vnd.openxmlformats-officedocument.drawingml.chartshapes+xml"/>
  <Override PartName="/xl/charts/chart70.xml" ContentType="application/vnd.openxmlformats-officedocument.drawingml.chart+xml"/>
  <Override PartName="/xl/drawings/drawing69.xml" ContentType="application/vnd.openxmlformats-officedocument.drawingml.chartshapes+xml"/>
  <Override PartName="/xl/charts/chart71.xml" ContentType="application/vnd.openxmlformats-officedocument.drawingml.chart+xml"/>
  <Override PartName="/xl/drawings/drawing70.xml" ContentType="application/vnd.openxmlformats-officedocument.drawingml.chartshapes+xml"/>
  <Override PartName="/xl/charts/chart72.xml" ContentType="application/vnd.openxmlformats-officedocument.drawingml.chart+xml"/>
  <Override PartName="/xl/drawings/drawing71.xml" ContentType="application/vnd.openxmlformats-officedocument.drawingml.chartshapes+xml"/>
  <Override PartName="/xl/charts/chart73.xml" ContentType="application/vnd.openxmlformats-officedocument.drawingml.chart+xml"/>
  <Override PartName="/xl/drawings/drawing72.xml" ContentType="application/vnd.openxmlformats-officedocument.drawingml.chartshapes+xml"/>
  <Override PartName="/xl/charts/chart74.xml" ContentType="application/vnd.openxmlformats-officedocument.drawingml.chart+xml"/>
  <Override PartName="/xl/drawings/drawing73.xml" ContentType="application/vnd.openxmlformats-officedocument.drawingml.chartshapes+xml"/>
  <Override PartName="/xl/charts/chart75.xml" ContentType="application/vnd.openxmlformats-officedocument.drawingml.chart+xml"/>
  <Override PartName="/xl/drawings/drawing74.xml" ContentType="application/vnd.openxmlformats-officedocument.drawingml.chartshapes+xml"/>
  <Override PartName="/xl/charts/chart76.xml" ContentType="application/vnd.openxmlformats-officedocument.drawingml.chart+xml"/>
  <Override PartName="/xl/drawings/drawing75.xml" ContentType="application/vnd.openxmlformats-officedocument.drawingml.chartshapes+xml"/>
  <Override PartName="/xl/charts/chart77.xml" ContentType="application/vnd.openxmlformats-officedocument.drawingml.chart+xml"/>
  <Override PartName="/xl/drawings/drawing76.xml" ContentType="application/vnd.openxmlformats-officedocument.drawingml.chartshapes+xml"/>
  <Override PartName="/xl/charts/chart78.xml" ContentType="application/vnd.openxmlformats-officedocument.drawingml.chart+xml"/>
  <Override PartName="/xl/drawings/drawing77.xml" ContentType="application/vnd.openxmlformats-officedocument.drawingml.chartshapes+xml"/>
  <Override PartName="/xl/charts/chart79.xml" ContentType="application/vnd.openxmlformats-officedocument.drawingml.chart+xml"/>
  <Override PartName="/xl/drawings/drawing78.xml" ContentType="application/vnd.openxmlformats-officedocument.drawingml.chartshapes+xml"/>
  <Override PartName="/xl/charts/chart80.xml" ContentType="application/vnd.openxmlformats-officedocument.drawingml.chart+xml"/>
  <Override PartName="/xl/drawings/drawing79.xml" ContentType="application/vnd.openxmlformats-officedocument.drawingml.chartshapes+xml"/>
  <Override PartName="/xl/charts/chart81.xml" ContentType="application/vnd.openxmlformats-officedocument.drawingml.chart+xml"/>
  <Override PartName="/xl/drawings/drawing80.xml" ContentType="application/vnd.openxmlformats-officedocument.drawingml.chartshapes+xml"/>
  <Override PartName="/xl/charts/chart82.xml" ContentType="application/vnd.openxmlformats-officedocument.drawingml.chart+xml"/>
  <Override PartName="/xl/drawings/drawing81.xml" ContentType="application/vnd.openxmlformats-officedocument.drawingml.chartshapes+xml"/>
  <Override PartName="/xl/charts/chart83.xml" ContentType="application/vnd.openxmlformats-officedocument.drawingml.chart+xml"/>
  <Override PartName="/xl/drawings/drawing82.xml" ContentType="application/vnd.openxmlformats-officedocument.drawingml.chartshapes+xml"/>
  <Override PartName="/xl/charts/chart84.xml" ContentType="application/vnd.openxmlformats-officedocument.drawingml.chart+xml"/>
  <Override PartName="/xl/drawings/drawing83.xml" ContentType="application/vnd.openxmlformats-officedocument.drawingml.chartshapes+xml"/>
  <Override PartName="/xl/charts/chart85.xml" ContentType="application/vnd.openxmlformats-officedocument.drawingml.chart+xml"/>
  <Override PartName="/xl/drawings/drawing84.xml" ContentType="application/vnd.openxmlformats-officedocument.drawingml.chartshapes+xml"/>
  <Override PartName="/xl/charts/chart86.xml" ContentType="application/vnd.openxmlformats-officedocument.drawingml.chart+xml"/>
  <Override PartName="/xl/drawings/drawing85.xml" ContentType="application/vnd.openxmlformats-officedocument.drawingml.chartshapes+xml"/>
  <Override PartName="/xl/comments1.xml" ContentType="application/vnd.openxmlformats-officedocument.spreadsheetml.comments+xml"/>
  <Override PartName="/xl/drawings/drawing86.xml" ContentType="application/vnd.openxmlformats-officedocument.drawing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drawings/drawing88.xml" ContentType="application/vnd.openxmlformats-officedocument.drawingml.chartshapes+xml"/>
  <Override PartName="/xl/charts/chart89.xml" ContentType="application/vnd.openxmlformats-officedocument.drawingml.chart+xml"/>
  <Override PartName="/xl/drawings/drawing89.xml" ContentType="application/vnd.openxmlformats-officedocument.drawingml.chartshapes+xml"/>
  <Override PartName="/xl/drawings/drawing9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suwa Khola\Revision\Hydrology\Flood Analysis\"/>
    </mc:Choice>
  </mc:AlternateContent>
  <xr:revisionPtr revIDLastSave="0" documentId="13_ncr:1_{0367F73E-CC14-46C0-8E7F-6489E6FBA338}" xr6:coauthVersionLast="36" xr6:coauthVersionMax="36" xr10:uidLastSave="{00000000-0000-0000-0000-000000000000}"/>
  <bookViews>
    <workbookView xWindow="0" yWindow="0" windowWidth="20490" windowHeight="7755" tabRatio="825" firstSheet="1" activeTab="3" xr2:uid="{00000000-000D-0000-FFFF-FFFF00000000}"/>
  </bookViews>
  <sheets>
    <sheet name="PMF calculation" sheetId="53" state="hidden" r:id="rId1"/>
    <sheet name="Flood Summary" sheetId="52" r:id="rId2"/>
    <sheet name="Regional flood frequency analys" sheetId="38" state="hidden" r:id="rId3"/>
    <sheet name="CAR FFA " sheetId="54" r:id="rId4"/>
    <sheet name="Regional regression analysis" sheetId="51" state="hidden" r:id="rId5"/>
    <sheet name="Station Details" sheetId="55" r:id="rId6"/>
    <sheet name="Sabhaya (602)" sheetId="4" r:id="rId7"/>
    <sheet name="Flood from_Sabaya Khola" sheetId="34" state="hidden" r:id="rId8"/>
    <sheet name="Hinwa (602.5)" sheetId="41" r:id="rId9"/>
    <sheet name="Arun River at Turkeghat (604.5)" sheetId="42" r:id="rId10"/>
    <sheet name="Arun River at Uwa Gaon (600.1)" sheetId="45" r:id="rId11"/>
    <sheet name="Extreme data" sheetId="40" r:id="rId12"/>
    <sheet name="Bhakbesi.(439.35" sheetId="37" state="hidden" r:id="rId13"/>
    <sheet name="FFA_Bimalnagar" sheetId="39" state="hidden" r:id="rId14"/>
    <sheet name="Andhighat (415) " sheetId="49" state="hidden" r:id="rId15"/>
  </sheets>
  <definedNames>
    <definedName name="_xlnm.Print_Area" localSheetId="3">'CAR FFA '!$A$1:$M$44</definedName>
    <definedName name="_xlnm.Print_Area" localSheetId="7">'Flood from_Sabaya Khola'!$A$1:$M$37</definedName>
    <definedName name="_xlnm.Print_Area" localSheetId="2">'Regional flood frequency analys'!$A$1:$K$180</definedName>
    <definedName name="_xlnm.Print_Area" localSheetId="4">'Regional regression analysis'!$A$1:$K$184</definedName>
    <definedName name="_xlnm.Print_Area" localSheetId="6">'Sabhaya (602)'!$A$1:$L$76</definedName>
    <definedName name="Return100D">'Flood Summary'!$B$18</definedName>
    <definedName name="Return2D">'Flood Summary'!$B$13</definedName>
  </definedNames>
  <calcPr calcId="181029"/>
</workbook>
</file>

<file path=xl/calcChain.xml><?xml version="1.0" encoding="utf-8"?>
<calcChain xmlns="http://schemas.openxmlformats.org/spreadsheetml/2006/main">
  <c r="D275" i="51" l="1"/>
  <c r="C276" i="51"/>
  <c r="B86" i="54" l="1"/>
  <c r="B112" i="54"/>
  <c r="M117" i="54"/>
  <c r="N117" i="54"/>
  <c r="E126" i="54"/>
  <c r="B12" i="42" l="1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C34" i="42" s="1"/>
  <c r="B35" i="42"/>
  <c r="C35" i="42" s="1"/>
  <c r="B36" i="42"/>
  <c r="C36" i="42"/>
  <c r="B37" i="42"/>
  <c r="C37" i="42"/>
  <c r="B38" i="42"/>
  <c r="C38" i="42"/>
  <c r="B39" i="42"/>
  <c r="C39" i="42"/>
  <c r="B40" i="42"/>
  <c r="C40" i="42"/>
  <c r="B41" i="42"/>
  <c r="C41" i="42" s="1"/>
  <c r="B42" i="42"/>
  <c r="C42" i="42" s="1"/>
  <c r="B43" i="42"/>
  <c r="C43" i="42" s="1"/>
  <c r="C266" i="51"/>
  <c r="C265" i="51"/>
  <c r="B266" i="51"/>
  <c r="B265" i="51"/>
  <c r="A266" i="51"/>
  <c r="A267" i="51"/>
  <c r="A265" i="51"/>
  <c r="H257" i="51"/>
  <c r="H254" i="51"/>
  <c r="H255" i="51"/>
  <c r="H256" i="51"/>
  <c r="G255" i="51"/>
  <c r="G256" i="51"/>
  <c r="F253" i="51"/>
  <c r="F254" i="51"/>
  <c r="F255" i="51"/>
  <c r="E255" i="51"/>
  <c r="D257" i="51"/>
  <c r="D254" i="51"/>
  <c r="D255" i="51"/>
  <c r="D256" i="51"/>
  <c r="D253" i="51"/>
  <c r="C257" i="51"/>
  <c r="C253" i="51"/>
  <c r="C254" i="51"/>
  <c r="C255" i="51"/>
  <c r="C256" i="51"/>
  <c r="C252" i="51"/>
  <c r="D252" i="51"/>
  <c r="H252" i="51"/>
  <c r="B257" i="51"/>
  <c r="B253" i="51"/>
  <c r="B254" i="51"/>
  <c r="B255" i="51"/>
  <c r="B256" i="51"/>
  <c r="B252" i="51"/>
  <c r="A126" i="51"/>
  <c r="A80" i="54" s="1"/>
  <c r="B62" i="54"/>
  <c r="A56" i="54"/>
  <c r="A103" i="51" s="1"/>
  <c r="B38" i="54"/>
  <c r="A32" i="54"/>
  <c r="A80" i="51" s="1"/>
  <c r="A8" i="54"/>
  <c r="A55" i="51" s="1"/>
  <c r="C265" i="38"/>
  <c r="C274" i="38" s="1"/>
  <c r="C266" i="38"/>
  <c r="C275" i="38" s="1"/>
  <c r="C267" i="38"/>
  <c r="C276" i="38" s="1"/>
  <c r="C264" i="38"/>
  <c r="C273" i="38" s="1"/>
  <c r="H255" i="38"/>
  <c r="H256" i="38"/>
  <c r="H257" i="38"/>
  <c r="H258" i="38"/>
  <c r="H253" i="38"/>
  <c r="G254" i="38"/>
  <c r="G256" i="38"/>
  <c r="G257" i="38"/>
  <c r="F258" i="38"/>
  <c r="G253" i="38"/>
  <c r="E254" i="38"/>
  <c r="E256" i="38"/>
  <c r="D254" i="38"/>
  <c r="D255" i="38"/>
  <c r="B264" i="38" s="1"/>
  <c r="D264" i="38" s="1"/>
  <c r="D265" i="51" s="1"/>
  <c r="D256" i="38"/>
  <c r="B265" i="38" s="1"/>
  <c r="D257" i="38"/>
  <c r="B266" i="38" s="1"/>
  <c r="D266" i="38" s="1"/>
  <c r="D267" i="51" s="1"/>
  <c r="D258" i="38"/>
  <c r="B267" i="38" s="1"/>
  <c r="D267" i="38" s="1"/>
  <c r="D268" i="51" s="1"/>
  <c r="D253" i="38"/>
  <c r="C254" i="38"/>
  <c r="C255" i="38"/>
  <c r="C256" i="38"/>
  <c r="C257" i="38"/>
  <c r="C258" i="38"/>
  <c r="C253" i="38"/>
  <c r="B254" i="38"/>
  <c r="B255" i="38"/>
  <c r="A264" i="38" s="1"/>
  <c r="B256" i="38"/>
  <c r="A265" i="38" s="1"/>
  <c r="B257" i="38"/>
  <c r="A266" i="38" s="1"/>
  <c r="B258" i="38"/>
  <c r="A267" i="38" s="1"/>
  <c r="A268" i="51" s="1"/>
  <c r="B253" i="38"/>
  <c r="B148" i="38"/>
  <c r="C148" i="38"/>
  <c r="D148" i="38"/>
  <c r="E148" i="38"/>
  <c r="F148" i="38"/>
  <c r="G148" i="38"/>
  <c r="H148" i="38"/>
  <c r="I148" i="38"/>
  <c r="J148" i="38"/>
  <c r="K148" i="38"/>
  <c r="L148" i="38"/>
  <c r="M148" i="38"/>
  <c r="N148" i="38"/>
  <c r="B149" i="38"/>
  <c r="C149" i="38"/>
  <c r="D149" i="38"/>
  <c r="E149" i="38"/>
  <c r="F149" i="38"/>
  <c r="G149" i="38"/>
  <c r="H149" i="38"/>
  <c r="I149" i="38"/>
  <c r="J149" i="38"/>
  <c r="K149" i="38"/>
  <c r="L149" i="38"/>
  <c r="M149" i="38"/>
  <c r="N149" i="38"/>
  <c r="C150" i="38"/>
  <c r="D150" i="38"/>
  <c r="E150" i="38"/>
  <c r="F150" i="38"/>
  <c r="G150" i="38"/>
  <c r="H150" i="38"/>
  <c r="I150" i="38"/>
  <c r="J150" i="38"/>
  <c r="K150" i="38"/>
  <c r="L150" i="38"/>
  <c r="M150" i="38"/>
  <c r="N150" i="38"/>
  <c r="B171" i="38"/>
  <c r="C171" i="38"/>
  <c r="D171" i="38"/>
  <c r="E171" i="38"/>
  <c r="F171" i="38"/>
  <c r="G171" i="38"/>
  <c r="H171" i="38"/>
  <c r="I171" i="38"/>
  <c r="J171" i="38"/>
  <c r="K171" i="38"/>
  <c r="L171" i="38"/>
  <c r="M171" i="38"/>
  <c r="N171" i="38"/>
  <c r="B172" i="38"/>
  <c r="C172" i="38"/>
  <c r="D172" i="38"/>
  <c r="E172" i="38"/>
  <c r="F172" i="38"/>
  <c r="G172" i="38"/>
  <c r="H172" i="38"/>
  <c r="I172" i="38"/>
  <c r="J172" i="38"/>
  <c r="K172" i="38"/>
  <c r="L172" i="38"/>
  <c r="M172" i="38"/>
  <c r="N172" i="38"/>
  <c r="C173" i="38"/>
  <c r="D173" i="38"/>
  <c r="E173" i="38"/>
  <c r="F173" i="38"/>
  <c r="G173" i="38"/>
  <c r="H173" i="38"/>
  <c r="I173" i="38"/>
  <c r="J173" i="38"/>
  <c r="K173" i="38"/>
  <c r="L173" i="38"/>
  <c r="M173" i="38"/>
  <c r="N173" i="38"/>
  <c r="B194" i="38"/>
  <c r="C194" i="38"/>
  <c r="D194" i="38"/>
  <c r="E194" i="38"/>
  <c r="F194" i="38"/>
  <c r="G194" i="38"/>
  <c r="H194" i="38"/>
  <c r="I194" i="38"/>
  <c r="J194" i="38"/>
  <c r="K194" i="38"/>
  <c r="L194" i="38"/>
  <c r="M194" i="38"/>
  <c r="N194" i="38"/>
  <c r="B195" i="38"/>
  <c r="C195" i="38"/>
  <c r="D195" i="38"/>
  <c r="E195" i="38"/>
  <c r="F195" i="38"/>
  <c r="G195" i="38"/>
  <c r="H195" i="38"/>
  <c r="I195" i="38"/>
  <c r="J195" i="38"/>
  <c r="K195" i="38"/>
  <c r="L195" i="38"/>
  <c r="M195" i="38"/>
  <c r="N195" i="38"/>
  <c r="C196" i="38"/>
  <c r="D196" i="38"/>
  <c r="E196" i="38"/>
  <c r="F196" i="38"/>
  <c r="G196" i="38"/>
  <c r="H196" i="38"/>
  <c r="I196" i="38"/>
  <c r="J196" i="38"/>
  <c r="K196" i="38"/>
  <c r="L196" i="38"/>
  <c r="M196" i="38"/>
  <c r="N196" i="38"/>
  <c r="B222" i="38"/>
  <c r="C222" i="38"/>
  <c r="D222" i="38"/>
  <c r="E222" i="38"/>
  <c r="F222" i="38"/>
  <c r="G222" i="38"/>
  <c r="H222" i="38"/>
  <c r="I222" i="38"/>
  <c r="J222" i="38"/>
  <c r="K222" i="38"/>
  <c r="L222" i="38"/>
  <c r="M222" i="38"/>
  <c r="N222" i="38"/>
  <c r="B223" i="38"/>
  <c r="C223" i="38"/>
  <c r="D223" i="38"/>
  <c r="E223" i="38"/>
  <c r="F223" i="38"/>
  <c r="G223" i="38"/>
  <c r="H223" i="38"/>
  <c r="I223" i="38"/>
  <c r="J223" i="38"/>
  <c r="K223" i="38"/>
  <c r="L223" i="38"/>
  <c r="M223" i="38"/>
  <c r="N223" i="38"/>
  <c r="C224" i="38"/>
  <c r="D224" i="38"/>
  <c r="E224" i="38"/>
  <c r="F224" i="38"/>
  <c r="G224" i="38"/>
  <c r="H224" i="38"/>
  <c r="I224" i="38"/>
  <c r="J224" i="38"/>
  <c r="K224" i="38"/>
  <c r="L224" i="38"/>
  <c r="M224" i="38"/>
  <c r="N224" i="38"/>
  <c r="H3" i="55"/>
  <c r="B113" i="54" s="1"/>
  <c r="G3" i="55"/>
  <c r="G253" i="51" s="1"/>
  <c r="F3" i="55"/>
  <c r="F254" i="38" s="1"/>
  <c r="E3" i="55"/>
  <c r="E253" i="51" s="1"/>
  <c r="F5" i="55"/>
  <c r="F256" i="38" s="1"/>
  <c r="E5" i="55"/>
  <c r="F6" i="55"/>
  <c r="F257" i="38" s="1"/>
  <c r="E6" i="55"/>
  <c r="E257" i="38" s="1"/>
  <c r="G7" i="55"/>
  <c r="G257" i="51" s="1"/>
  <c r="F7" i="55"/>
  <c r="F257" i="51" s="1"/>
  <c r="E7" i="55"/>
  <c r="E257" i="51" s="1"/>
  <c r="E4" i="55"/>
  <c r="E255" i="38" s="1"/>
  <c r="G4" i="55"/>
  <c r="G255" i="38" s="1"/>
  <c r="F4" i="55"/>
  <c r="F255" i="38" s="1"/>
  <c r="G2" i="55"/>
  <c r="F2" i="55"/>
  <c r="F252" i="51" s="1"/>
  <c r="G254" i="51" l="1"/>
  <c r="E2" i="55"/>
  <c r="H254" i="38"/>
  <c r="C318" i="38" s="1"/>
  <c r="D265" i="38"/>
  <c r="D266" i="51" s="1"/>
  <c r="G258" i="38"/>
  <c r="C268" i="51"/>
  <c r="C267" i="51"/>
  <c r="F253" i="38"/>
  <c r="G252" i="51"/>
  <c r="E256" i="51"/>
  <c r="E258" i="38"/>
  <c r="H253" i="51"/>
  <c r="E254" i="51"/>
  <c r="F256" i="51"/>
  <c r="B268" i="51"/>
  <c r="B114" i="54"/>
  <c r="E127" i="54"/>
  <c r="B129" i="54" s="1"/>
  <c r="C38" i="51"/>
  <c r="B267" i="51"/>
  <c r="B47" i="42"/>
  <c r="B48" i="42"/>
  <c r="B49" i="42"/>
  <c r="E252" i="51" l="1"/>
  <c r="E253" i="38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13" i="45"/>
  <c r="B12" i="45"/>
  <c r="B41" i="45" l="1"/>
  <c r="B40" i="45"/>
  <c r="B39" i="45"/>
  <c r="C17" i="42"/>
  <c r="C18" i="42"/>
  <c r="C19" i="42"/>
  <c r="C20" i="42"/>
  <c r="C21" i="42"/>
  <c r="C22" i="42"/>
  <c r="C23" i="42"/>
  <c r="C24" i="42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C30" i="41" s="1"/>
  <c r="B31" i="41"/>
  <c r="C31" i="41" s="1"/>
  <c r="B32" i="41"/>
  <c r="C32" i="41" s="1"/>
  <c r="B33" i="41"/>
  <c r="C33" i="41" s="1"/>
  <c r="B34" i="41"/>
  <c r="C34" i="41" s="1"/>
  <c r="B35" i="41"/>
  <c r="C35" i="41" s="1"/>
  <c r="B36" i="41"/>
  <c r="C36" i="41" s="1"/>
  <c r="B37" i="41"/>
  <c r="C37" i="41" s="1"/>
  <c r="B38" i="41"/>
  <c r="C38" i="41" s="1"/>
  <c r="B39" i="41"/>
  <c r="C39" i="41" s="1"/>
  <c r="B40" i="41"/>
  <c r="C40" i="41" s="1"/>
  <c r="B41" i="41"/>
  <c r="C41" i="41" s="1"/>
  <c r="B42" i="41"/>
  <c r="C42" i="41" s="1"/>
  <c r="B43" i="41"/>
  <c r="C43" i="41" s="1"/>
  <c r="B44" i="41"/>
  <c r="C44" i="41" s="1"/>
  <c r="B45" i="41"/>
  <c r="C45" i="41" s="1"/>
  <c r="B13" i="41"/>
  <c r="B14" i="41"/>
  <c r="B15" i="41"/>
  <c r="B16" i="41"/>
  <c r="B17" i="41"/>
  <c r="B12" i="41"/>
  <c r="B57" i="41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13" i="4"/>
  <c r="B14" i="4"/>
  <c r="B15" i="4"/>
  <c r="B17" i="4"/>
  <c r="B19" i="4"/>
  <c r="B20" i="4"/>
  <c r="B21" i="4"/>
  <c r="B22" i="4"/>
  <c r="B23" i="4"/>
  <c r="B24" i="4"/>
  <c r="B25" i="4"/>
  <c r="B26" i="4"/>
  <c r="B27" i="4"/>
  <c r="B29" i="4"/>
  <c r="B30" i="4"/>
  <c r="B31" i="4"/>
  <c r="B32" i="4"/>
  <c r="B33" i="4"/>
  <c r="B34" i="4"/>
  <c r="B35" i="4"/>
  <c r="B36" i="4"/>
  <c r="B37" i="4"/>
  <c r="B38" i="4"/>
  <c r="B39" i="4"/>
  <c r="B12" i="4"/>
  <c r="C37" i="40"/>
  <c r="B28" i="4" s="1"/>
  <c r="C27" i="40"/>
  <c r="B18" i="4" s="1"/>
  <c r="C25" i="40"/>
  <c r="B16" i="4" s="1"/>
  <c r="B57" i="4" l="1"/>
  <c r="B55" i="41"/>
  <c r="B56" i="41"/>
  <c r="B58" i="4"/>
  <c r="B56" i="4"/>
  <c r="B292" i="38" l="1"/>
  <c r="D11" i="53"/>
  <c r="A6" i="38"/>
  <c r="B3" i="38"/>
  <c r="M227" i="51" l="1"/>
  <c r="E227" i="51"/>
  <c r="H227" i="51"/>
  <c r="J227" i="51"/>
  <c r="K227" i="51"/>
  <c r="G227" i="51"/>
  <c r="L227" i="51"/>
  <c r="D227" i="51"/>
  <c r="C227" i="51"/>
  <c r="I227" i="51"/>
  <c r="N227" i="51"/>
  <c r="F227" i="51"/>
  <c r="D226" i="51" l="1"/>
  <c r="N226" i="51"/>
  <c r="C226" i="51"/>
  <c r="K225" i="51"/>
  <c r="F225" i="51"/>
  <c r="G226" i="51"/>
  <c r="E225" i="51"/>
  <c r="M225" i="51"/>
  <c r="J226" i="51"/>
  <c r="H225" i="51"/>
  <c r="L226" i="51"/>
  <c r="B225" i="51"/>
  <c r="C225" i="51"/>
  <c r="H226" i="51"/>
  <c r="N225" i="51"/>
  <c r="B226" i="51"/>
  <c r="K226" i="51"/>
  <c r="G225" i="51"/>
  <c r="J225" i="51"/>
  <c r="M226" i="51"/>
  <c r="E226" i="51"/>
  <c r="I225" i="51"/>
  <c r="F226" i="51"/>
  <c r="D225" i="51"/>
  <c r="L225" i="51"/>
  <c r="I226" i="51" l="1"/>
  <c r="Z314" i="51" l="1"/>
  <c r="U314" i="51"/>
  <c r="K292" i="38"/>
  <c r="L292" i="38"/>
  <c r="C35" i="54" l="1"/>
  <c r="C116" i="54" s="1"/>
  <c r="D35" i="54"/>
  <c r="D116" i="54" s="1"/>
  <c r="E35" i="54"/>
  <c r="E116" i="54" s="1"/>
  <c r="F35" i="54"/>
  <c r="F116" i="54" s="1"/>
  <c r="G35" i="54"/>
  <c r="G116" i="54" s="1"/>
  <c r="H35" i="54"/>
  <c r="H116" i="54" s="1"/>
  <c r="I35" i="54"/>
  <c r="I116" i="54" s="1"/>
  <c r="J35" i="54"/>
  <c r="J116" i="54" s="1"/>
  <c r="K35" i="54"/>
  <c r="K116" i="54" s="1"/>
  <c r="L35" i="54"/>
  <c r="L116" i="54" s="1"/>
  <c r="B35" i="54"/>
  <c r="B116" i="54" s="1"/>
  <c r="B14" i="54"/>
  <c r="I117" i="54" l="1"/>
  <c r="I132" i="54"/>
  <c r="B132" i="54"/>
  <c r="B117" i="54"/>
  <c r="J132" i="54"/>
  <c r="J117" i="54"/>
  <c r="E117" i="54"/>
  <c r="E132" i="54"/>
  <c r="K117" i="54"/>
  <c r="K132" i="54"/>
  <c r="G132" i="54"/>
  <c r="G117" i="54"/>
  <c r="D132" i="54"/>
  <c r="D117" i="54"/>
  <c r="L132" i="54"/>
  <c r="L117" i="54"/>
  <c r="H117" i="54"/>
  <c r="H132" i="54"/>
  <c r="F132" i="54"/>
  <c r="F117" i="54"/>
  <c r="C132" i="54"/>
  <c r="C117" i="54"/>
  <c r="J59" i="54"/>
  <c r="F59" i="54"/>
  <c r="B59" i="54"/>
  <c r="I59" i="54"/>
  <c r="E59" i="54"/>
  <c r="L59" i="54"/>
  <c r="H59" i="54"/>
  <c r="D59" i="54"/>
  <c r="K59" i="54"/>
  <c r="G59" i="54"/>
  <c r="C59" i="54"/>
  <c r="N313" i="38" l="1"/>
  <c r="B52" i="53"/>
  <c r="B55" i="53" s="1"/>
  <c r="B37" i="53"/>
  <c r="B42" i="53" s="1"/>
  <c r="B36" i="53"/>
  <c r="B41" i="53" s="1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D12" i="53"/>
  <c r="D10" i="53"/>
  <c r="D9" i="53"/>
  <c r="Z278" i="51" l="1"/>
  <c r="P290" i="51"/>
  <c r="U290" i="51"/>
  <c r="Z290" i="51"/>
  <c r="P302" i="51"/>
  <c r="U302" i="51"/>
  <c r="Z302" i="51"/>
  <c r="P314" i="51"/>
  <c r="U278" i="51"/>
  <c r="P278" i="51"/>
  <c r="B277" i="51" l="1"/>
  <c r="A277" i="51"/>
  <c r="B274" i="51"/>
  <c r="A274" i="51"/>
  <c r="B275" i="51"/>
  <c r="A275" i="51"/>
  <c r="B276" i="51"/>
  <c r="A276" i="51"/>
  <c r="C277" i="51"/>
  <c r="C274" i="51"/>
  <c r="C275" i="51"/>
  <c r="B48" i="37" l="1"/>
  <c r="C48" i="37" s="1"/>
  <c r="B49" i="37"/>
  <c r="C49" i="37" s="1"/>
  <c r="B50" i="37"/>
  <c r="C50" i="37" s="1"/>
  <c r="B51" i="37"/>
  <c r="C51" i="37" s="1"/>
  <c r="B52" i="37"/>
  <c r="C52" i="37" s="1"/>
  <c r="B53" i="37"/>
  <c r="C53" i="37" s="1"/>
  <c r="C292" i="38" l="1"/>
  <c r="D292" i="38"/>
  <c r="E292" i="38"/>
  <c r="F292" i="38"/>
  <c r="G292" i="38"/>
  <c r="H292" i="38"/>
  <c r="I292" i="38"/>
  <c r="J292" i="38"/>
  <c r="A274" i="38" l="1"/>
  <c r="A282" i="38" s="1"/>
  <c r="A295" i="38" s="1"/>
  <c r="B274" i="38"/>
  <c r="B282" i="38" s="1"/>
  <c r="A275" i="38"/>
  <c r="A283" i="38" s="1"/>
  <c r="A296" i="38" s="1"/>
  <c r="B275" i="38"/>
  <c r="B283" i="38" s="1"/>
  <c r="A276" i="38"/>
  <c r="A284" i="38" s="1"/>
  <c r="A297" i="38" s="1"/>
  <c r="B276" i="38"/>
  <c r="B284" i="38" s="1"/>
  <c r="B273" i="38"/>
  <c r="B281" i="38" s="1"/>
  <c r="A273" i="38"/>
  <c r="A281" i="38" s="1"/>
  <c r="A294" i="38" s="1"/>
  <c r="C282" i="38"/>
  <c r="C283" i="38"/>
  <c r="C284" i="38"/>
  <c r="C281" i="38" l="1"/>
  <c r="E153" i="51" l="1"/>
  <c r="K153" i="51"/>
  <c r="D153" i="51"/>
  <c r="J153" i="51"/>
  <c r="L154" i="51"/>
  <c r="K154" i="51"/>
  <c r="J154" i="51"/>
  <c r="I154" i="51"/>
  <c r="H154" i="51"/>
  <c r="G154" i="51"/>
  <c r="F154" i="51"/>
  <c r="E154" i="51"/>
  <c r="D154" i="51"/>
  <c r="C154" i="51"/>
  <c r="L153" i="51"/>
  <c r="I153" i="51"/>
  <c r="H153" i="51"/>
  <c r="G153" i="51"/>
  <c r="F153" i="51"/>
  <c r="C153" i="51"/>
  <c r="L152" i="51"/>
  <c r="K152" i="51"/>
  <c r="J152" i="51"/>
  <c r="I152" i="51"/>
  <c r="H152" i="51"/>
  <c r="G152" i="51"/>
  <c r="F152" i="51"/>
  <c r="E152" i="51"/>
  <c r="C152" i="51"/>
  <c r="D152" i="51"/>
  <c r="B152" i="51"/>
  <c r="L200" i="51"/>
  <c r="K200" i="51"/>
  <c r="J200" i="51"/>
  <c r="I200" i="51"/>
  <c r="H200" i="51"/>
  <c r="G200" i="51"/>
  <c r="F200" i="51"/>
  <c r="E200" i="51"/>
  <c r="D200" i="51"/>
  <c r="C200" i="51"/>
  <c r="B153" i="51" l="1"/>
  <c r="E198" i="51"/>
  <c r="E199" i="51"/>
  <c r="H199" i="51"/>
  <c r="I198" i="51"/>
  <c r="N200" i="51"/>
  <c r="N153" i="51"/>
  <c r="N154" i="51"/>
  <c r="N198" i="51"/>
  <c r="C199" i="51"/>
  <c r="M152" i="51"/>
  <c r="K199" i="51"/>
  <c r="I199" i="51"/>
  <c r="J199" i="51"/>
  <c r="M200" i="51"/>
  <c r="G199" i="51"/>
  <c r="B199" i="51"/>
  <c r="N152" i="51"/>
  <c r="M153" i="51"/>
  <c r="M154" i="51"/>
  <c r="C198" i="51"/>
  <c r="G198" i="51"/>
  <c r="K198" i="51"/>
  <c r="D198" i="51"/>
  <c r="L198" i="51"/>
  <c r="L199" i="51" l="1"/>
  <c r="N199" i="51"/>
  <c r="J198" i="51"/>
  <c r="B198" i="51"/>
  <c r="F199" i="51"/>
  <c r="H198" i="51"/>
  <c r="M199" i="51"/>
  <c r="M198" i="51"/>
  <c r="F198" i="51"/>
  <c r="D199" i="51"/>
  <c r="C16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14" i="45"/>
  <c r="C17" i="45"/>
  <c r="G68" i="45"/>
  <c r="E68" i="45"/>
  <c r="J59" i="45"/>
  <c r="B59" i="45"/>
  <c r="C59" i="45" s="1"/>
  <c r="D59" i="45" s="1"/>
  <c r="J58" i="45"/>
  <c r="B58" i="45"/>
  <c r="C58" i="45" s="1"/>
  <c r="D58" i="45" s="1"/>
  <c r="J57" i="45"/>
  <c r="B57" i="45"/>
  <c r="C57" i="45" s="1"/>
  <c r="D57" i="45" s="1"/>
  <c r="J56" i="45"/>
  <c r="B56" i="45"/>
  <c r="C56" i="45" s="1"/>
  <c r="D56" i="45" s="1"/>
  <c r="J55" i="45"/>
  <c r="B55" i="45"/>
  <c r="C55" i="45" s="1"/>
  <c r="D55" i="45" s="1"/>
  <c r="J54" i="45"/>
  <c r="B54" i="45"/>
  <c r="C54" i="45" s="1"/>
  <c r="D54" i="45" s="1"/>
  <c r="J53" i="45"/>
  <c r="B53" i="45"/>
  <c r="C53" i="45" s="1"/>
  <c r="D53" i="45" s="1"/>
  <c r="J52" i="45"/>
  <c r="B52" i="45"/>
  <c r="C52" i="45" s="1"/>
  <c r="D52" i="45" s="1"/>
  <c r="J51" i="45"/>
  <c r="B51" i="45"/>
  <c r="C51" i="45" s="1"/>
  <c r="D51" i="45" s="1"/>
  <c r="J50" i="45"/>
  <c r="B50" i="45"/>
  <c r="C50" i="45" s="1"/>
  <c r="D50" i="45" s="1"/>
  <c r="J49" i="45"/>
  <c r="B49" i="45"/>
  <c r="C49" i="45" s="1"/>
  <c r="D49" i="45" s="1"/>
  <c r="J48" i="45"/>
  <c r="B48" i="45"/>
  <c r="C48" i="45" s="1"/>
  <c r="D48" i="45" s="1"/>
  <c r="B47" i="45"/>
  <c r="C47" i="45" s="1"/>
  <c r="D47" i="45" s="1"/>
  <c r="C13" i="45"/>
  <c r="C12" i="45"/>
  <c r="C14" i="42"/>
  <c r="C15" i="42"/>
  <c r="C16" i="42"/>
  <c r="C25" i="42"/>
  <c r="C26" i="42"/>
  <c r="C27" i="42"/>
  <c r="C28" i="42"/>
  <c r="C29" i="42"/>
  <c r="C30" i="42"/>
  <c r="C31" i="42"/>
  <c r="C32" i="42"/>
  <c r="C33" i="42"/>
  <c r="G76" i="42"/>
  <c r="E76" i="42"/>
  <c r="J67" i="42"/>
  <c r="B67" i="42"/>
  <c r="C67" i="42" s="1"/>
  <c r="D67" i="42" s="1"/>
  <c r="J66" i="42"/>
  <c r="B66" i="42"/>
  <c r="C66" i="42" s="1"/>
  <c r="D66" i="42" s="1"/>
  <c r="J65" i="42"/>
  <c r="B65" i="42"/>
  <c r="C65" i="42" s="1"/>
  <c r="D65" i="42" s="1"/>
  <c r="J64" i="42"/>
  <c r="B64" i="42"/>
  <c r="C64" i="42" s="1"/>
  <c r="D64" i="42" s="1"/>
  <c r="J63" i="42"/>
  <c r="B63" i="42"/>
  <c r="C63" i="42" s="1"/>
  <c r="D63" i="42" s="1"/>
  <c r="J62" i="42"/>
  <c r="B62" i="42"/>
  <c r="C62" i="42" s="1"/>
  <c r="D62" i="42" s="1"/>
  <c r="J61" i="42"/>
  <c r="B61" i="42"/>
  <c r="C61" i="42" s="1"/>
  <c r="D61" i="42" s="1"/>
  <c r="J60" i="42"/>
  <c r="B60" i="42"/>
  <c r="C60" i="42" s="1"/>
  <c r="D60" i="42" s="1"/>
  <c r="J59" i="42"/>
  <c r="B59" i="42"/>
  <c r="C59" i="42" s="1"/>
  <c r="D59" i="42" s="1"/>
  <c r="J58" i="42"/>
  <c r="B58" i="42"/>
  <c r="C58" i="42" s="1"/>
  <c r="D58" i="42" s="1"/>
  <c r="J57" i="42"/>
  <c r="B57" i="42"/>
  <c r="C57" i="42" s="1"/>
  <c r="D57" i="42" s="1"/>
  <c r="J56" i="42"/>
  <c r="B56" i="42"/>
  <c r="C56" i="42" s="1"/>
  <c r="D56" i="42" s="1"/>
  <c r="B55" i="42"/>
  <c r="C55" i="42" s="1"/>
  <c r="D55" i="42" s="1"/>
  <c r="C12" i="42"/>
  <c r="C18" i="41"/>
  <c r="C13" i="41"/>
  <c r="C14" i="41"/>
  <c r="C15" i="41"/>
  <c r="C16" i="41"/>
  <c r="C17" i="41"/>
  <c r="C12" i="41"/>
  <c r="J75" i="41"/>
  <c r="B75" i="41"/>
  <c r="C75" i="41" s="1"/>
  <c r="D75" i="41" s="1"/>
  <c r="J74" i="41"/>
  <c r="B74" i="41"/>
  <c r="C74" i="41" s="1"/>
  <c r="D74" i="41" s="1"/>
  <c r="J73" i="41"/>
  <c r="B73" i="41"/>
  <c r="C73" i="41" s="1"/>
  <c r="D73" i="41" s="1"/>
  <c r="J72" i="41"/>
  <c r="B72" i="41"/>
  <c r="C72" i="41" s="1"/>
  <c r="D72" i="41" s="1"/>
  <c r="J71" i="41"/>
  <c r="B71" i="41"/>
  <c r="C71" i="41" s="1"/>
  <c r="D71" i="41" s="1"/>
  <c r="J70" i="41"/>
  <c r="B70" i="41"/>
  <c r="C70" i="41" s="1"/>
  <c r="D70" i="41" s="1"/>
  <c r="J69" i="41"/>
  <c r="B69" i="41"/>
  <c r="C69" i="41" s="1"/>
  <c r="D69" i="41" s="1"/>
  <c r="J68" i="41"/>
  <c r="B68" i="41"/>
  <c r="C68" i="41"/>
  <c r="D68" i="41" s="1"/>
  <c r="J67" i="41"/>
  <c r="B67" i="41"/>
  <c r="C67" i="41" s="1"/>
  <c r="D67" i="41" s="1"/>
  <c r="J66" i="41"/>
  <c r="B66" i="41"/>
  <c r="C66" i="41" s="1"/>
  <c r="D66" i="41" s="1"/>
  <c r="J65" i="41"/>
  <c r="B65" i="41"/>
  <c r="C65" i="41" s="1"/>
  <c r="D65" i="41" s="1"/>
  <c r="J64" i="41"/>
  <c r="B64" i="41"/>
  <c r="C64" i="41" s="1"/>
  <c r="D64" i="41" s="1"/>
  <c r="B63" i="41"/>
  <c r="C63" i="41" s="1"/>
  <c r="D63" i="41" s="1"/>
  <c r="C29" i="41"/>
  <c r="C28" i="41"/>
  <c r="C27" i="41"/>
  <c r="C26" i="41"/>
  <c r="C25" i="41"/>
  <c r="C24" i="41"/>
  <c r="C23" i="41"/>
  <c r="C22" i="41"/>
  <c r="C21" i="41"/>
  <c r="C20" i="41"/>
  <c r="C19" i="41"/>
  <c r="B39" i="37"/>
  <c r="C39" i="37" s="1"/>
  <c r="B40" i="37"/>
  <c r="C40" i="37" s="1"/>
  <c r="B41" i="37"/>
  <c r="B42" i="37"/>
  <c r="C42" i="37" s="1"/>
  <c r="B43" i="37"/>
  <c r="C43" i="37" s="1"/>
  <c r="B44" i="37"/>
  <c r="C44" i="37" s="1"/>
  <c r="B45" i="37"/>
  <c r="C45" i="37" s="1"/>
  <c r="B46" i="37"/>
  <c r="C46" i="37" s="1"/>
  <c r="B47" i="37"/>
  <c r="C47" i="37" s="1"/>
  <c r="B38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41" i="37"/>
  <c r="C13" i="37"/>
  <c r="C12" i="37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G92" i="37"/>
  <c r="E92" i="37"/>
  <c r="J83" i="37"/>
  <c r="B83" i="37"/>
  <c r="C83" i="37" s="1"/>
  <c r="D83" i="37" s="1"/>
  <c r="J82" i="37"/>
  <c r="B82" i="37"/>
  <c r="C82" i="37" s="1"/>
  <c r="D82" i="37" s="1"/>
  <c r="J81" i="37"/>
  <c r="B81" i="37"/>
  <c r="C81" i="37"/>
  <c r="D81" i="37" s="1"/>
  <c r="J80" i="37"/>
  <c r="B80" i="37"/>
  <c r="C80" i="37" s="1"/>
  <c r="D80" i="37" s="1"/>
  <c r="J79" i="37"/>
  <c r="B79" i="37"/>
  <c r="C79" i="37" s="1"/>
  <c r="D79" i="37" s="1"/>
  <c r="J78" i="37"/>
  <c r="B78" i="37"/>
  <c r="C78" i="37" s="1"/>
  <c r="D78" i="37" s="1"/>
  <c r="J77" i="37"/>
  <c r="B77" i="37"/>
  <c r="C77" i="37" s="1"/>
  <c r="D77" i="37" s="1"/>
  <c r="J76" i="37"/>
  <c r="B76" i="37"/>
  <c r="C76" i="37" s="1"/>
  <c r="D76" i="37" s="1"/>
  <c r="J75" i="37"/>
  <c r="B75" i="37"/>
  <c r="C75" i="37" s="1"/>
  <c r="D75" i="37" s="1"/>
  <c r="J74" i="37"/>
  <c r="B74" i="37"/>
  <c r="C74" i="37" s="1"/>
  <c r="D74" i="37" s="1"/>
  <c r="J73" i="37"/>
  <c r="B73" i="37"/>
  <c r="C73" i="37"/>
  <c r="D73" i="37" s="1"/>
  <c r="J72" i="37"/>
  <c r="B72" i="37"/>
  <c r="C72" i="37" s="1"/>
  <c r="D72" i="37" s="1"/>
  <c r="B71" i="37"/>
  <c r="C71" i="37" s="1"/>
  <c r="D71" i="37" s="1"/>
  <c r="A29" i="34"/>
  <c r="B5" i="34"/>
  <c r="B64" i="4"/>
  <c r="C64" i="4" s="1"/>
  <c r="D64" i="4" s="1"/>
  <c r="J66" i="4"/>
  <c r="B66" i="4"/>
  <c r="C66" i="4" s="1"/>
  <c r="D66" i="4" s="1"/>
  <c r="E110" i="4"/>
  <c r="G110" i="4"/>
  <c r="J76" i="4"/>
  <c r="B76" i="4"/>
  <c r="C76" i="4" s="1"/>
  <c r="D76" i="4" s="1"/>
  <c r="J75" i="4"/>
  <c r="B75" i="4"/>
  <c r="C75" i="4" s="1"/>
  <c r="D75" i="4" s="1"/>
  <c r="J74" i="4"/>
  <c r="B74" i="4"/>
  <c r="C74" i="4" s="1"/>
  <c r="D74" i="4" s="1"/>
  <c r="J73" i="4"/>
  <c r="B73" i="4"/>
  <c r="C73" i="4" s="1"/>
  <c r="D73" i="4" s="1"/>
  <c r="J72" i="4"/>
  <c r="B72" i="4"/>
  <c r="C72" i="4" s="1"/>
  <c r="D72" i="4" s="1"/>
  <c r="J71" i="4"/>
  <c r="B71" i="4"/>
  <c r="C71" i="4" s="1"/>
  <c r="D71" i="4" s="1"/>
  <c r="J70" i="4"/>
  <c r="B70" i="4"/>
  <c r="C70" i="4" s="1"/>
  <c r="D70" i="4" s="1"/>
  <c r="J69" i="4"/>
  <c r="B69" i="4"/>
  <c r="C69" i="4" s="1"/>
  <c r="D69" i="4" s="1"/>
  <c r="J68" i="4"/>
  <c r="B68" i="4"/>
  <c r="C68" i="4" s="1"/>
  <c r="D68" i="4" s="1"/>
  <c r="J67" i="4"/>
  <c r="B67" i="4"/>
  <c r="C67" i="4" s="1"/>
  <c r="D67" i="4" s="1"/>
  <c r="J65" i="4"/>
  <c r="B65" i="4"/>
  <c r="C65" i="4" s="1"/>
  <c r="D65" i="4" s="1"/>
  <c r="G12" i="34"/>
  <c r="F12" i="34"/>
  <c r="E12" i="34"/>
  <c r="I12" i="34"/>
  <c r="H12" i="34"/>
  <c r="D12" i="34"/>
  <c r="C13" i="34"/>
  <c r="C12" i="34"/>
  <c r="K12" i="34"/>
  <c r="J12" i="34"/>
  <c r="D13" i="34"/>
  <c r="E13" i="34"/>
  <c r="F13" i="34"/>
  <c r="B20" i="34"/>
  <c r="C38" i="37"/>
  <c r="B19" i="34"/>
  <c r="B29" i="34" s="1"/>
  <c r="H24" i="34"/>
  <c r="F25" i="34"/>
  <c r="E24" i="34"/>
  <c r="I24" i="34"/>
  <c r="J25" i="34"/>
  <c r="I25" i="34" l="1"/>
  <c r="C57" i="41"/>
  <c r="C56" i="41"/>
  <c r="C55" i="41"/>
  <c r="J36" i="34"/>
  <c r="G34" i="34"/>
  <c r="H36" i="34"/>
  <c r="D35" i="34"/>
  <c r="H35" i="34"/>
  <c r="D34" i="34"/>
  <c r="I36" i="34"/>
  <c r="F36" i="34"/>
  <c r="E34" i="34"/>
  <c r="G36" i="34"/>
  <c r="F34" i="34"/>
  <c r="E35" i="34"/>
  <c r="C34" i="34"/>
  <c r="I34" i="34"/>
  <c r="F24" i="34"/>
  <c r="K24" i="34"/>
  <c r="K25" i="34"/>
  <c r="I23" i="34"/>
  <c r="D25" i="34"/>
  <c r="J24" i="34"/>
  <c r="D24" i="34"/>
  <c r="C24" i="34"/>
  <c r="E23" i="34"/>
  <c r="H25" i="34"/>
  <c r="E25" i="34"/>
  <c r="C23" i="34"/>
  <c r="G23" i="34"/>
  <c r="G25" i="34"/>
  <c r="D20" i="34"/>
  <c r="J23" i="34"/>
  <c r="D23" i="34"/>
  <c r="G24" i="34"/>
  <c r="C25" i="34"/>
  <c r="F23" i="34"/>
  <c r="F35" i="34"/>
  <c r="K23" i="34"/>
  <c r="H23" i="34"/>
  <c r="E77" i="42"/>
  <c r="E78" i="42" s="1"/>
  <c r="E79" i="42" s="1"/>
  <c r="E80" i="42" s="1"/>
  <c r="E111" i="4"/>
  <c r="E112" i="4" s="1"/>
  <c r="E113" i="4" s="1"/>
  <c r="E114" i="4" s="1"/>
  <c r="E69" i="45"/>
  <c r="E70" i="45" s="1"/>
  <c r="E71" i="45" s="1"/>
  <c r="E72" i="45" s="1"/>
  <c r="E95" i="37"/>
  <c r="E96" i="37" s="1"/>
  <c r="E93" i="37"/>
  <c r="E94" i="37" s="1"/>
  <c r="D36" i="34"/>
  <c r="C36" i="34"/>
  <c r="H34" i="34"/>
  <c r="K36" i="34"/>
  <c r="K35" i="34"/>
  <c r="C35" i="34"/>
  <c r="I35" i="34"/>
  <c r="J35" i="34"/>
  <c r="K34" i="34"/>
  <c r="J34" i="34"/>
  <c r="G35" i="34"/>
  <c r="E36" i="34"/>
  <c r="B63" i="37"/>
  <c r="C15" i="45"/>
  <c r="C40" i="45" s="1"/>
  <c r="B64" i="37"/>
  <c r="C13" i="42"/>
  <c r="C49" i="42" s="1"/>
  <c r="C12" i="4"/>
  <c r="C64" i="37"/>
  <c r="C65" i="37"/>
  <c r="B65" i="37"/>
  <c r="C63" i="37"/>
  <c r="C39" i="45" l="1"/>
  <c r="C41" i="45"/>
  <c r="C47" i="42"/>
  <c r="C48" i="42"/>
  <c r="C58" i="4"/>
  <c r="C57" i="4"/>
  <c r="C56" i="4"/>
  <c r="K66" i="42"/>
  <c r="K62" i="42"/>
  <c r="I109" i="51" s="1"/>
  <c r="K58" i="42"/>
  <c r="E109" i="51" s="1"/>
  <c r="K52" i="45"/>
  <c r="G132" i="51" s="1"/>
  <c r="G86" i="54" s="1"/>
  <c r="G120" i="54" s="1"/>
  <c r="K48" i="45"/>
  <c r="C132" i="51" s="1"/>
  <c r="C86" i="54" s="1"/>
  <c r="C120" i="54" s="1"/>
  <c r="K68" i="4"/>
  <c r="F61" i="51" s="1"/>
  <c r="K70" i="4"/>
  <c r="H61" i="51" s="1"/>
  <c r="K73" i="4"/>
  <c r="K61" i="51" s="1"/>
  <c r="K71" i="4"/>
  <c r="I61" i="51" s="1"/>
  <c r="K72" i="4"/>
  <c r="J61" i="51" s="1"/>
  <c r="K65" i="4"/>
  <c r="C61" i="51" s="1"/>
  <c r="K74" i="4"/>
  <c r="L61" i="51" s="1"/>
  <c r="K76" i="4"/>
  <c r="K66" i="4"/>
  <c r="D61" i="51" s="1"/>
  <c r="K67" i="4"/>
  <c r="E61" i="51" s="1"/>
  <c r="K75" i="4"/>
  <c r="L177" i="51"/>
  <c r="J177" i="51"/>
  <c r="H177" i="51"/>
  <c r="F177" i="51"/>
  <c r="D177" i="51"/>
  <c r="I177" i="51"/>
  <c r="E177" i="51"/>
  <c r="K177" i="51"/>
  <c r="G177" i="51"/>
  <c r="C177" i="51"/>
  <c r="G64" i="41"/>
  <c r="H64" i="41" s="1"/>
  <c r="I64" i="41" s="1"/>
  <c r="C85" i="51" s="1"/>
  <c r="G69" i="41"/>
  <c r="H69" i="41" s="1"/>
  <c r="I69" i="41" s="1"/>
  <c r="H85" i="51" s="1"/>
  <c r="G74" i="41"/>
  <c r="H74" i="41" s="1"/>
  <c r="I74" i="41" s="1"/>
  <c r="G63" i="41"/>
  <c r="H63" i="41" s="1"/>
  <c r="I63" i="41" s="1"/>
  <c r="B85" i="51" s="1"/>
  <c r="G71" i="41"/>
  <c r="H71" i="41" s="1"/>
  <c r="I71" i="41" s="1"/>
  <c r="J85" i="51" s="1"/>
  <c r="G66" i="41"/>
  <c r="H66" i="41" s="1"/>
  <c r="I66" i="41" s="1"/>
  <c r="E85" i="51" s="1"/>
  <c r="G73" i="41"/>
  <c r="H73" i="41" s="1"/>
  <c r="I73" i="41" s="1"/>
  <c r="L85" i="51" s="1"/>
  <c r="G70" i="41"/>
  <c r="H70" i="41" s="1"/>
  <c r="I70" i="41" s="1"/>
  <c r="I85" i="51" s="1"/>
  <c r="G75" i="41"/>
  <c r="H75" i="41" s="1"/>
  <c r="I75" i="41" s="1"/>
  <c r="G68" i="41"/>
  <c r="H68" i="41" s="1"/>
  <c r="I68" i="41" s="1"/>
  <c r="G85" i="51" s="1"/>
  <c r="G65" i="41"/>
  <c r="H65" i="41" s="1"/>
  <c r="I65" i="41" s="1"/>
  <c r="D85" i="51" s="1"/>
  <c r="G72" i="41"/>
  <c r="H72" i="41" s="1"/>
  <c r="I72" i="41" s="1"/>
  <c r="K85" i="51" s="1"/>
  <c r="G67" i="41"/>
  <c r="H67" i="41" s="1"/>
  <c r="I67" i="41" s="1"/>
  <c r="F85" i="51" s="1"/>
  <c r="K50" i="45"/>
  <c r="E132" i="51" s="1"/>
  <c r="E86" i="54" s="1"/>
  <c r="E120" i="54" s="1"/>
  <c r="K51" i="45"/>
  <c r="F132" i="51" s="1"/>
  <c r="F86" i="54" s="1"/>
  <c r="F120" i="54" s="1"/>
  <c r="K58" i="45"/>
  <c r="K55" i="45"/>
  <c r="J132" i="51" s="1"/>
  <c r="J86" i="54" s="1"/>
  <c r="J120" i="54" s="1"/>
  <c r="K59" i="45"/>
  <c r="K69" i="4"/>
  <c r="G61" i="51" s="1"/>
  <c r="K67" i="42"/>
  <c r="K63" i="42"/>
  <c r="J109" i="51" s="1"/>
  <c r="K59" i="42"/>
  <c r="F109" i="51" s="1"/>
  <c r="K65" i="42"/>
  <c r="L109" i="51" s="1"/>
  <c r="K61" i="42"/>
  <c r="H109" i="51" s="1"/>
  <c r="K57" i="42"/>
  <c r="D109" i="51" s="1"/>
  <c r="K74" i="41"/>
  <c r="K72" i="41"/>
  <c r="K86" i="51" s="1"/>
  <c r="K70" i="41"/>
  <c r="I86" i="51" s="1"/>
  <c r="K68" i="41"/>
  <c r="G86" i="51" s="1"/>
  <c r="K66" i="41"/>
  <c r="E86" i="51" s="1"/>
  <c r="K64" i="41"/>
  <c r="C86" i="51" s="1"/>
  <c r="K75" i="41"/>
  <c r="K71" i="41"/>
  <c r="J86" i="51" s="1"/>
  <c r="K67" i="41"/>
  <c r="F86" i="51" s="1"/>
  <c r="K73" i="41"/>
  <c r="L86" i="51" s="1"/>
  <c r="K69" i="41"/>
  <c r="H86" i="51" s="1"/>
  <c r="K65" i="41"/>
  <c r="D86" i="51" s="1"/>
  <c r="E74" i="41"/>
  <c r="F74" i="41" s="1"/>
  <c r="E72" i="41"/>
  <c r="F72" i="41" s="1"/>
  <c r="K84" i="51" s="1"/>
  <c r="E70" i="41"/>
  <c r="F70" i="41" s="1"/>
  <c r="I84" i="51" s="1"/>
  <c r="E68" i="41"/>
  <c r="F68" i="41" s="1"/>
  <c r="G84" i="51" s="1"/>
  <c r="E66" i="41"/>
  <c r="F66" i="41" s="1"/>
  <c r="E84" i="51" s="1"/>
  <c r="E64" i="41"/>
  <c r="F64" i="41" s="1"/>
  <c r="C84" i="51" s="1"/>
  <c r="E73" i="41"/>
  <c r="F73" i="41" s="1"/>
  <c r="L84" i="51" s="1"/>
  <c r="E69" i="41"/>
  <c r="F69" i="41" s="1"/>
  <c r="H84" i="51" s="1"/>
  <c r="E65" i="41"/>
  <c r="F65" i="41" s="1"/>
  <c r="D84" i="51" s="1"/>
  <c r="E75" i="41"/>
  <c r="F75" i="41" s="1"/>
  <c r="E71" i="41"/>
  <c r="F71" i="41" s="1"/>
  <c r="J84" i="51" s="1"/>
  <c r="E67" i="41"/>
  <c r="F67" i="41" s="1"/>
  <c r="F84" i="51" s="1"/>
  <c r="E63" i="41"/>
  <c r="F63" i="41" s="1"/>
  <c r="B84" i="51" s="1"/>
  <c r="K56" i="42"/>
  <c r="C109" i="51" s="1"/>
  <c r="K60" i="42"/>
  <c r="G109" i="51" s="1"/>
  <c r="K64" i="42"/>
  <c r="K109" i="51" s="1"/>
  <c r="K56" i="45"/>
  <c r="K132" i="51" s="1"/>
  <c r="K86" i="54" s="1"/>
  <c r="K120" i="54" s="1"/>
  <c r="K49" i="45"/>
  <c r="D132" i="51" s="1"/>
  <c r="D86" i="54" s="1"/>
  <c r="D120" i="54" s="1"/>
  <c r="K54" i="45"/>
  <c r="I132" i="51" s="1"/>
  <c r="I86" i="54" s="1"/>
  <c r="I120" i="54" s="1"/>
  <c r="K53" i="45"/>
  <c r="H132" i="51" s="1"/>
  <c r="H86" i="54" s="1"/>
  <c r="H120" i="54" s="1"/>
  <c r="K57" i="45"/>
  <c r="L132" i="51" s="1"/>
  <c r="L86" i="54" s="1"/>
  <c r="L120" i="54" s="1"/>
  <c r="G57" i="45"/>
  <c r="G54" i="45"/>
  <c r="G50" i="45"/>
  <c r="G58" i="45"/>
  <c r="G53" i="45"/>
  <c r="G49" i="45"/>
  <c r="G48" i="45"/>
  <c r="G59" i="45"/>
  <c r="G55" i="45"/>
  <c r="G52" i="45"/>
  <c r="G47" i="45"/>
  <c r="G56" i="45"/>
  <c r="G51" i="45"/>
  <c r="G73" i="37"/>
  <c r="H73" i="37" s="1"/>
  <c r="I73" i="37" s="1"/>
  <c r="D14" i="51" s="1"/>
  <c r="G77" i="37"/>
  <c r="H77" i="37" s="1"/>
  <c r="I77" i="37" s="1"/>
  <c r="H14" i="51" s="1"/>
  <c r="G76" i="37"/>
  <c r="H76" i="37" s="1"/>
  <c r="I76" i="37" s="1"/>
  <c r="G14" i="51" s="1"/>
  <c r="G75" i="37"/>
  <c r="H75" i="37" s="1"/>
  <c r="I75" i="37" s="1"/>
  <c r="F14" i="51" s="1"/>
  <c r="G83" i="37"/>
  <c r="H83" i="37" s="1"/>
  <c r="I83" i="37" s="1"/>
  <c r="G79" i="37"/>
  <c r="H79" i="37" s="1"/>
  <c r="I79" i="37" s="1"/>
  <c r="J14" i="51" s="1"/>
  <c r="G72" i="37"/>
  <c r="H72" i="37" s="1"/>
  <c r="I72" i="37" s="1"/>
  <c r="C14" i="51" s="1"/>
  <c r="G71" i="37"/>
  <c r="H71" i="37" s="1"/>
  <c r="I71" i="37" s="1"/>
  <c r="B14" i="51" s="1"/>
  <c r="G82" i="37"/>
  <c r="H82" i="37" s="1"/>
  <c r="I82" i="37" s="1"/>
  <c r="G81" i="37"/>
  <c r="H81" i="37" s="1"/>
  <c r="I81" i="37" s="1"/>
  <c r="L14" i="51" s="1"/>
  <c r="G74" i="37"/>
  <c r="H74" i="37" s="1"/>
  <c r="I74" i="37" s="1"/>
  <c r="E14" i="51" s="1"/>
  <c r="G80" i="37"/>
  <c r="H80" i="37" s="1"/>
  <c r="I80" i="37" s="1"/>
  <c r="K14" i="51" s="1"/>
  <c r="G78" i="37"/>
  <c r="E77" i="37"/>
  <c r="F77" i="37" s="1"/>
  <c r="H13" i="51" s="1"/>
  <c r="E75" i="37"/>
  <c r="F75" i="37" s="1"/>
  <c r="F13" i="51" s="1"/>
  <c r="E76" i="37"/>
  <c r="F76" i="37" s="1"/>
  <c r="G13" i="51" s="1"/>
  <c r="E74" i="37"/>
  <c r="F74" i="37" s="1"/>
  <c r="E13" i="51" s="1"/>
  <c r="E81" i="37"/>
  <c r="F81" i="37" s="1"/>
  <c r="L13" i="51" s="1"/>
  <c r="E78" i="37"/>
  <c r="F78" i="37" s="1"/>
  <c r="I13" i="51" s="1"/>
  <c r="E73" i="37"/>
  <c r="F73" i="37" s="1"/>
  <c r="D13" i="51" s="1"/>
  <c r="E80" i="37"/>
  <c r="F80" i="37" s="1"/>
  <c r="K13" i="51" s="1"/>
  <c r="E72" i="37"/>
  <c r="F72" i="37" s="1"/>
  <c r="C13" i="51" s="1"/>
  <c r="E79" i="37"/>
  <c r="F79" i="37" s="1"/>
  <c r="J13" i="51" s="1"/>
  <c r="E82" i="37"/>
  <c r="F82" i="37" s="1"/>
  <c r="E83" i="37"/>
  <c r="F83" i="37" s="1"/>
  <c r="E71" i="37"/>
  <c r="F71" i="37" s="1"/>
  <c r="B13" i="51" s="1"/>
  <c r="K83" i="37"/>
  <c r="K80" i="37"/>
  <c r="K15" i="51" s="1"/>
  <c r="K76" i="37"/>
  <c r="G15" i="51" s="1"/>
  <c r="K82" i="37"/>
  <c r="K81" i="37"/>
  <c r="L15" i="51" s="1"/>
  <c r="K78" i="37"/>
  <c r="I15" i="51" s="1"/>
  <c r="K77" i="37"/>
  <c r="H15" i="51" s="1"/>
  <c r="K72" i="37"/>
  <c r="C15" i="51" s="1"/>
  <c r="K75" i="37"/>
  <c r="F15" i="51" s="1"/>
  <c r="K73" i="37"/>
  <c r="D15" i="51" s="1"/>
  <c r="K79" i="37"/>
  <c r="J15" i="51" s="1"/>
  <c r="K74" i="37"/>
  <c r="E15" i="51" s="1"/>
  <c r="G93" i="37" l="1"/>
  <c r="G94" i="37" s="1"/>
  <c r="N61" i="51"/>
  <c r="N57" i="38"/>
  <c r="N14" i="54" s="1"/>
  <c r="N81" i="38"/>
  <c r="N37" i="54" s="1"/>
  <c r="N134" i="54" s="1"/>
  <c r="N85" i="51"/>
  <c r="M57" i="38"/>
  <c r="M14" i="54" s="1"/>
  <c r="M61" i="51"/>
  <c r="M84" i="51"/>
  <c r="M80" i="38"/>
  <c r="M36" i="54" s="1"/>
  <c r="M133" i="54" s="1"/>
  <c r="M175" i="51"/>
  <c r="H78" i="37"/>
  <c r="I78" i="37" s="1"/>
  <c r="I14" i="51" s="1"/>
  <c r="N86" i="51"/>
  <c r="N82" i="38"/>
  <c r="N109" i="51"/>
  <c r="N105" i="38"/>
  <c r="N62" i="54" s="1"/>
  <c r="M128" i="38"/>
  <c r="O264" i="38" s="1"/>
  <c r="O265" i="51" s="1"/>
  <c r="M132" i="51"/>
  <c r="M86" i="54" s="1"/>
  <c r="M120" i="54" s="1"/>
  <c r="M177" i="51"/>
  <c r="M86" i="51"/>
  <c r="M82" i="38"/>
  <c r="N128" i="38"/>
  <c r="P264" i="38" s="1"/>
  <c r="P265" i="51" s="1"/>
  <c r="N132" i="51"/>
  <c r="N86" i="54" s="1"/>
  <c r="N120" i="54" s="1"/>
  <c r="N177" i="51"/>
  <c r="N84" i="51"/>
  <c r="N80" i="38"/>
  <c r="N36" i="54" s="1"/>
  <c r="N133" i="54" s="1"/>
  <c r="M81" i="38"/>
  <c r="M37" i="54" s="1"/>
  <c r="M134" i="54" s="1"/>
  <c r="M85" i="51"/>
  <c r="M105" i="38"/>
  <c r="M62" i="54" s="1"/>
  <c r="M109" i="51"/>
  <c r="E55" i="45"/>
  <c r="F55" i="45" s="1"/>
  <c r="E30" i="38"/>
  <c r="D30" i="38"/>
  <c r="C30" i="38"/>
  <c r="I30" i="38"/>
  <c r="K30" i="38"/>
  <c r="I29" i="38"/>
  <c r="G29" i="38"/>
  <c r="E29" i="38"/>
  <c r="J28" i="38"/>
  <c r="K28" i="38"/>
  <c r="I28" i="38"/>
  <c r="E28" i="38"/>
  <c r="D29" i="38"/>
  <c r="H28" i="38"/>
  <c r="C29" i="38"/>
  <c r="L128" i="38"/>
  <c r="N264" i="38" s="1"/>
  <c r="N265" i="51" s="1"/>
  <c r="I128" i="38"/>
  <c r="K264" i="38" s="1"/>
  <c r="K265" i="51" s="1"/>
  <c r="K128" i="38"/>
  <c r="M264" i="38" s="1"/>
  <c r="M265" i="51" s="1"/>
  <c r="G105" i="38"/>
  <c r="G62" i="54" s="1"/>
  <c r="B80" i="38"/>
  <c r="B36" i="54" s="1"/>
  <c r="B133" i="54" s="1"/>
  <c r="J80" i="38"/>
  <c r="J36" i="54" s="1"/>
  <c r="J133" i="54" s="1"/>
  <c r="D80" i="38"/>
  <c r="D36" i="54" s="1"/>
  <c r="D133" i="54" s="1"/>
  <c r="L80" i="38"/>
  <c r="L36" i="54" s="1"/>
  <c r="L133" i="54" s="1"/>
  <c r="E80" i="38"/>
  <c r="E36" i="54" s="1"/>
  <c r="E133" i="54" s="1"/>
  <c r="I80" i="38"/>
  <c r="I36" i="54" s="1"/>
  <c r="I133" i="54" s="1"/>
  <c r="H82" i="38"/>
  <c r="F82" i="38"/>
  <c r="E82" i="38"/>
  <c r="I82" i="38"/>
  <c r="H105" i="38"/>
  <c r="H62" i="54" s="1"/>
  <c r="F105" i="38"/>
  <c r="F62" i="54" s="1"/>
  <c r="E128" i="38"/>
  <c r="G264" i="38" s="1"/>
  <c r="G265" i="51" s="1"/>
  <c r="K81" i="38"/>
  <c r="K37" i="54" s="1"/>
  <c r="K134" i="54" s="1"/>
  <c r="G81" i="38"/>
  <c r="G37" i="54" s="1"/>
  <c r="G134" i="54" s="1"/>
  <c r="I81" i="38"/>
  <c r="I37" i="54" s="1"/>
  <c r="I134" i="54" s="1"/>
  <c r="E81" i="38"/>
  <c r="E37" i="54" s="1"/>
  <c r="E134" i="54" s="1"/>
  <c r="B81" i="38"/>
  <c r="B37" i="54" s="1"/>
  <c r="B134" i="54" s="1"/>
  <c r="H81" i="38"/>
  <c r="H37" i="54" s="1"/>
  <c r="H134" i="54" s="1"/>
  <c r="D57" i="38"/>
  <c r="D14" i="54" s="1"/>
  <c r="L57" i="38"/>
  <c r="L14" i="54" s="1"/>
  <c r="J57" i="38"/>
  <c r="J14" i="54" s="1"/>
  <c r="K57" i="38"/>
  <c r="K14" i="54" s="1"/>
  <c r="F57" i="38"/>
  <c r="F14" i="54" s="1"/>
  <c r="G128" i="38"/>
  <c r="I264" i="38" s="1"/>
  <c r="I265" i="51" s="1"/>
  <c r="I105" i="38"/>
  <c r="I62" i="54" s="1"/>
  <c r="J30" i="38"/>
  <c r="F30" i="38"/>
  <c r="H30" i="38"/>
  <c r="L30" i="38"/>
  <c r="G30" i="38"/>
  <c r="K29" i="38"/>
  <c r="H29" i="38"/>
  <c r="B28" i="38"/>
  <c r="C28" i="38"/>
  <c r="D28" i="38"/>
  <c r="L28" i="38"/>
  <c r="G28" i="38"/>
  <c r="L29" i="38"/>
  <c r="F28" i="38"/>
  <c r="F29" i="38"/>
  <c r="B29" i="38"/>
  <c r="J29" i="38"/>
  <c r="H128" i="38"/>
  <c r="J264" i="38" s="1"/>
  <c r="J265" i="51" s="1"/>
  <c r="D128" i="38"/>
  <c r="F264" i="38" s="1"/>
  <c r="F265" i="51" s="1"/>
  <c r="K105" i="38"/>
  <c r="K62" i="54" s="1"/>
  <c r="C105" i="38"/>
  <c r="C62" i="54" s="1"/>
  <c r="F80" i="38"/>
  <c r="F36" i="54" s="1"/>
  <c r="F133" i="54" s="1"/>
  <c r="H80" i="38"/>
  <c r="H36" i="54" s="1"/>
  <c r="H133" i="54" s="1"/>
  <c r="C80" i="38"/>
  <c r="C36" i="54" s="1"/>
  <c r="C133" i="54" s="1"/>
  <c r="G80" i="38"/>
  <c r="G36" i="54" s="1"/>
  <c r="G133" i="54" s="1"/>
  <c r="K80" i="38"/>
  <c r="K36" i="54" s="1"/>
  <c r="K133" i="54" s="1"/>
  <c r="D82" i="38"/>
  <c r="L82" i="38"/>
  <c r="J82" i="38"/>
  <c r="C82" i="38"/>
  <c r="G82" i="38"/>
  <c r="K82" i="38"/>
  <c r="D105" i="38"/>
  <c r="D62" i="54" s="1"/>
  <c r="L105" i="38"/>
  <c r="L62" i="54" s="1"/>
  <c r="J105" i="38"/>
  <c r="J62" i="54" s="1"/>
  <c r="G57" i="38"/>
  <c r="G14" i="54" s="1"/>
  <c r="J128" i="38"/>
  <c r="L264" i="38" s="1"/>
  <c r="L265" i="51" s="1"/>
  <c r="F128" i="38"/>
  <c r="H264" i="38" s="1"/>
  <c r="H265" i="51" s="1"/>
  <c r="F81" i="38"/>
  <c r="F37" i="54" s="1"/>
  <c r="F134" i="54" s="1"/>
  <c r="D81" i="38"/>
  <c r="D37" i="54" s="1"/>
  <c r="D134" i="54" s="1"/>
  <c r="L81" i="38"/>
  <c r="L37" i="54" s="1"/>
  <c r="L134" i="54" s="1"/>
  <c r="J81" i="38"/>
  <c r="J37" i="54" s="1"/>
  <c r="J134" i="54" s="1"/>
  <c r="C81" i="38"/>
  <c r="C37" i="54" s="1"/>
  <c r="C134" i="54" s="1"/>
  <c r="E57" i="38"/>
  <c r="E14" i="54" s="1"/>
  <c r="C57" i="38"/>
  <c r="C14" i="54" s="1"/>
  <c r="I57" i="38"/>
  <c r="I14" i="54" s="1"/>
  <c r="H57" i="38"/>
  <c r="H14" i="54" s="1"/>
  <c r="C128" i="38"/>
  <c r="E264" i="38" s="1"/>
  <c r="E265" i="51" s="1"/>
  <c r="D276" i="51" s="1"/>
  <c r="E105" i="38"/>
  <c r="E62" i="54" s="1"/>
  <c r="E47" i="45"/>
  <c r="F47" i="45" s="1"/>
  <c r="H56" i="45"/>
  <c r="I56" i="45" s="1"/>
  <c r="K131" i="51" s="1"/>
  <c r="K85" i="54" s="1"/>
  <c r="K119" i="54" s="1"/>
  <c r="H52" i="45"/>
  <c r="I52" i="45" s="1"/>
  <c r="G131" i="51" s="1"/>
  <c r="G85" i="54" s="1"/>
  <c r="G119" i="54" s="1"/>
  <c r="H49" i="45"/>
  <c r="I49" i="45" s="1"/>
  <c r="D131" i="51" s="1"/>
  <c r="D85" i="54" s="1"/>
  <c r="D119" i="54" s="1"/>
  <c r="H58" i="45"/>
  <c r="I58" i="45" s="1"/>
  <c r="H54" i="45"/>
  <c r="I54" i="45" s="1"/>
  <c r="I131" i="51" s="1"/>
  <c r="I85" i="54" s="1"/>
  <c r="I119" i="54" s="1"/>
  <c r="H59" i="45"/>
  <c r="I59" i="45" s="1"/>
  <c r="E51" i="45"/>
  <c r="F51" i="45" s="1"/>
  <c r="F130" i="51" s="1"/>
  <c r="F84" i="54" s="1"/>
  <c r="F118" i="54" s="1"/>
  <c r="E59" i="45"/>
  <c r="F59" i="45" s="1"/>
  <c r="F175" i="51"/>
  <c r="E49" i="45"/>
  <c r="F49" i="45" s="1"/>
  <c r="D130" i="51" s="1"/>
  <c r="D84" i="54" s="1"/>
  <c r="D118" i="54" s="1"/>
  <c r="E53" i="45"/>
  <c r="F53" i="45" s="1"/>
  <c r="H130" i="51" s="1"/>
  <c r="H84" i="54" s="1"/>
  <c r="H118" i="54" s="1"/>
  <c r="E57" i="45"/>
  <c r="F57" i="45" s="1"/>
  <c r="L130" i="51" s="1"/>
  <c r="L84" i="54" s="1"/>
  <c r="L118" i="54" s="1"/>
  <c r="C176" i="51"/>
  <c r="F176" i="51"/>
  <c r="K176" i="51"/>
  <c r="H176" i="51"/>
  <c r="B175" i="51"/>
  <c r="J175" i="51"/>
  <c r="E58" i="45"/>
  <c r="F58" i="45" s="1"/>
  <c r="D175" i="51"/>
  <c r="H175" i="51"/>
  <c r="L175" i="51"/>
  <c r="E48" i="45"/>
  <c r="F48" i="45" s="1"/>
  <c r="C130" i="51" s="1"/>
  <c r="C84" i="54" s="1"/>
  <c r="C118" i="54" s="1"/>
  <c r="E50" i="45"/>
  <c r="F50" i="45" s="1"/>
  <c r="E130" i="51" s="1"/>
  <c r="E84" i="54" s="1"/>
  <c r="E118" i="54" s="1"/>
  <c r="E52" i="45"/>
  <c r="F52" i="45" s="1"/>
  <c r="G130" i="51" s="1"/>
  <c r="G84" i="54" s="1"/>
  <c r="G118" i="54" s="1"/>
  <c r="E54" i="45"/>
  <c r="F54" i="45" s="1"/>
  <c r="I130" i="51" s="1"/>
  <c r="I84" i="54" s="1"/>
  <c r="I118" i="54" s="1"/>
  <c r="E56" i="45"/>
  <c r="F56" i="45" s="1"/>
  <c r="K130" i="51" s="1"/>
  <c r="K84" i="54" s="1"/>
  <c r="K118" i="54" s="1"/>
  <c r="H51" i="45"/>
  <c r="I51" i="45" s="1"/>
  <c r="F131" i="51" s="1"/>
  <c r="F85" i="54" s="1"/>
  <c r="F119" i="54" s="1"/>
  <c r="H47" i="45"/>
  <c r="I47" i="45" s="1"/>
  <c r="B131" i="51" s="1"/>
  <c r="B85" i="54" s="1"/>
  <c r="B119" i="54" s="1"/>
  <c r="H55" i="45"/>
  <c r="I55" i="45" s="1"/>
  <c r="J131" i="51" s="1"/>
  <c r="J85" i="54" s="1"/>
  <c r="J119" i="54" s="1"/>
  <c r="H48" i="45"/>
  <c r="I48" i="45" s="1"/>
  <c r="C131" i="51" s="1"/>
  <c r="C85" i="54" s="1"/>
  <c r="C119" i="54" s="1"/>
  <c r="H53" i="45"/>
  <c r="I53" i="45" s="1"/>
  <c r="H131" i="51" s="1"/>
  <c r="H85" i="54" s="1"/>
  <c r="H119" i="54" s="1"/>
  <c r="H50" i="45"/>
  <c r="I50" i="45" s="1"/>
  <c r="E131" i="51" s="1"/>
  <c r="E85" i="54" s="1"/>
  <c r="E119" i="54" s="1"/>
  <c r="H57" i="45"/>
  <c r="I57" i="45" s="1"/>
  <c r="L131" i="51" s="1"/>
  <c r="L85" i="54" s="1"/>
  <c r="L119" i="54" s="1"/>
  <c r="G176" i="51"/>
  <c r="J176" i="51"/>
  <c r="E176" i="51"/>
  <c r="D176" i="51"/>
  <c r="L176" i="51"/>
  <c r="B176" i="51"/>
  <c r="C175" i="51"/>
  <c r="E175" i="51"/>
  <c r="G175" i="51"/>
  <c r="I175" i="51"/>
  <c r="K175" i="51"/>
  <c r="G56" i="42"/>
  <c r="G57" i="42"/>
  <c r="H57" i="42" s="1"/>
  <c r="I57" i="42" s="1"/>
  <c r="D108" i="51" s="1"/>
  <c r="G62" i="42"/>
  <c r="G64" i="42"/>
  <c r="H64" i="42" s="1"/>
  <c r="I64" i="42" s="1"/>
  <c r="K108" i="51" s="1"/>
  <c r="G63" i="42"/>
  <c r="H63" i="42" s="1"/>
  <c r="I63" i="42" s="1"/>
  <c r="J108" i="51" s="1"/>
  <c r="G59" i="42"/>
  <c r="H59" i="42" s="1"/>
  <c r="I59" i="42" s="1"/>
  <c r="F108" i="51" s="1"/>
  <c r="G60" i="42"/>
  <c r="H60" i="42" s="1"/>
  <c r="I60" i="42" s="1"/>
  <c r="G108" i="51" s="1"/>
  <c r="G65" i="42"/>
  <c r="H65" i="42" s="1"/>
  <c r="I65" i="42" s="1"/>
  <c r="L108" i="51" s="1"/>
  <c r="G66" i="42"/>
  <c r="H66" i="42" s="1"/>
  <c r="I66" i="42" s="1"/>
  <c r="G67" i="42"/>
  <c r="H67" i="42" s="1"/>
  <c r="I67" i="42" s="1"/>
  <c r="G58" i="42"/>
  <c r="H58" i="42" s="1"/>
  <c r="I58" i="42" s="1"/>
  <c r="E108" i="51" s="1"/>
  <c r="G61" i="42"/>
  <c r="H61" i="42" s="1"/>
  <c r="I61" i="42" s="1"/>
  <c r="H108" i="51" s="1"/>
  <c r="G55" i="42"/>
  <c r="H55" i="42" s="1"/>
  <c r="I55" i="42" s="1"/>
  <c r="B108" i="51" s="1"/>
  <c r="E67" i="42"/>
  <c r="F67" i="42" s="1"/>
  <c r="E65" i="42"/>
  <c r="F65" i="42" s="1"/>
  <c r="L107" i="51" s="1"/>
  <c r="E66" i="42"/>
  <c r="F66" i="42" s="1"/>
  <c r="E63" i="42"/>
  <c r="F63" i="42" s="1"/>
  <c r="J107" i="51" s="1"/>
  <c r="E61" i="42"/>
  <c r="F61" i="42" s="1"/>
  <c r="H107" i="51" s="1"/>
  <c r="E59" i="42"/>
  <c r="F59" i="42" s="1"/>
  <c r="F107" i="51" s="1"/>
  <c r="E57" i="42"/>
  <c r="F57" i="42" s="1"/>
  <c r="D107" i="51" s="1"/>
  <c r="E55" i="42"/>
  <c r="F55" i="42" s="1"/>
  <c r="B107" i="51" s="1"/>
  <c r="H62" i="42"/>
  <c r="I62" i="42" s="1"/>
  <c r="I108" i="51" s="1"/>
  <c r="E64" i="42"/>
  <c r="F64" i="42" s="1"/>
  <c r="K107" i="51" s="1"/>
  <c r="E62" i="42"/>
  <c r="F62" i="42" s="1"/>
  <c r="I107" i="51" s="1"/>
  <c r="E60" i="42"/>
  <c r="F60" i="42" s="1"/>
  <c r="G107" i="51" s="1"/>
  <c r="E58" i="42"/>
  <c r="F58" i="42" s="1"/>
  <c r="E107" i="51" s="1"/>
  <c r="E56" i="42"/>
  <c r="F56" i="42" s="1"/>
  <c r="C107" i="51" s="1"/>
  <c r="H56" i="42"/>
  <c r="I56" i="42" s="1"/>
  <c r="C108" i="51" s="1"/>
  <c r="G74" i="4"/>
  <c r="H74" i="4" s="1"/>
  <c r="I74" i="4" s="1"/>
  <c r="L60" i="51" s="1"/>
  <c r="M276" i="51" s="1"/>
  <c r="G65" i="4"/>
  <c r="H65" i="4" s="1"/>
  <c r="I65" i="4" s="1"/>
  <c r="C60" i="51" s="1"/>
  <c r="G66" i="4"/>
  <c r="H66" i="4" s="1"/>
  <c r="I66" i="4" s="1"/>
  <c r="D60" i="51" s="1"/>
  <c r="E276" i="51" s="1"/>
  <c r="G64" i="4"/>
  <c r="H64" i="4" s="1"/>
  <c r="I64" i="4" s="1"/>
  <c r="B60" i="51" s="1"/>
  <c r="G71" i="4"/>
  <c r="G75" i="4"/>
  <c r="H75" i="4" s="1"/>
  <c r="I75" i="4" s="1"/>
  <c r="G67" i="4"/>
  <c r="H67" i="4" s="1"/>
  <c r="I67" i="4" s="1"/>
  <c r="E60" i="51" s="1"/>
  <c r="F276" i="51" s="1"/>
  <c r="G69" i="4"/>
  <c r="H69" i="4" s="1"/>
  <c r="I69" i="4" s="1"/>
  <c r="G60" i="51" s="1"/>
  <c r="H276" i="51" s="1"/>
  <c r="G68" i="4"/>
  <c r="H68" i="4" s="1"/>
  <c r="I68" i="4" s="1"/>
  <c r="F60" i="51" s="1"/>
  <c r="G276" i="51" s="1"/>
  <c r="G76" i="4"/>
  <c r="H76" i="4" s="1"/>
  <c r="I76" i="4" s="1"/>
  <c r="G70" i="4"/>
  <c r="H70" i="4" s="1"/>
  <c r="I70" i="4" s="1"/>
  <c r="H60" i="51" s="1"/>
  <c r="I276" i="51" s="1"/>
  <c r="G73" i="4"/>
  <c r="H73" i="4" s="1"/>
  <c r="I73" i="4" s="1"/>
  <c r="K60" i="51" s="1"/>
  <c r="L276" i="51" s="1"/>
  <c r="G72" i="4"/>
  <c r="H72" i="4" s="1"/>
  <c r="I72" i="4" s="1"/>
  <c r="J60" i="51" s="1"/>
  <c r="K276" i="51" s="1"/>
  <c r="E64" i="4"/>
  <c r="F64" i="4" s="1"/>
  <c r="B59" i="51" s="1"/>
  <c r="E68" i="4"/>
  <c r="F68" i="4" s="1"/>
  <c r="F59" i="51" s="1"/>
  <c r="E70" i="4"/>
  <c r="F70" i="4" s="1"/>
  <c r="H59" i="51" s="1"/>
  <c r="E69" i="4"/>
  <c r="F69" i="4" s="1"/>
  <c r="G59" i="51" s="1"/>
  <c r="E65" i="4"/>
  <c r="F65" i="4" s="1"/>
  <c r="E67" i="4"/>
  <c r="F67" i="4" s="1"/>
  <c r="E59" i="51" s="1"/>
  <c r="E76" i="4"/>
  <c r="F76" i="4" s="1"/>
  <c r="E71" i="4"/>
  <c r="F71" i="4" s="1"/>
  <c r="I59" i="51" s="1"/>
  <c r="E75" i="4"/>
  <c r="F75" i="4" s="1"/>
  <c r="E66" i="4"/>
  <c r="F66" i="4" s="1"/>
  <c r="D59" i="51" s="1"/>
  <c r="E74" i="4"/>
  <c r="F74" i="4" s="1"/>
  <c r="L59" i="51" s="1"/>
  <c r="E72" i="4"/>
  <c r="F72" i="4" s="1"/>
  <c r="J59" i="51" s="1"/>
  <c r="E73" i="4"/>
  <c r="F73" i="4" s="1"/>
  <c r="K59" i="51" s="1"/>
  <c r="I176" i="51"/>
  <c r="G69" i="45"/>
  <c r="G70" i="45" s="1"/>
  <c r="G71" i="45" s="1"/>
  <c r="G72" i="45" s="1"/>
  <c r="G95" i="37"/>
  <c r="G96" i="37" s="1"/>
  <c r="D38" i="54" l="1"/>
  <c r="D135" i="54" s="1"/>
  <c r="F266" i="38"/>
  <c r="F267" i="51" s="1"/>
  <c r="K274" i="51"/>
  <c r="M38" i="54"/>
  <c r="M135" i="54" s="1"/>
  <c r="O266" i="38"/>
  <c r="O267" i="51" s="1"/>
  <c r="I274" i="51"/>
  <c r="J274" i="51"/>
  <c r="P266" i="38"/>
  <c r="P267" i="51" s="1"/>
  <c r="N38" i="54"/>
  <c r="N135" i="54" s="1"/>
  <c r="E274" i="51"/>
  <c r="M266" i="38"/>
  <c r="M267" i="51" s="1"/>
  <c r="L274" i="51" s="1"/>
  <c r="K38" i="54"/>
  <c r="K135" i="54" s="1"/>
  <c r="I38" i="54"/>
  <c r="I135" i="54" s="1"/>
  <c r="K266" i="38"/>
  <c r="K267" i="51" s="1"/>
  <c r="I266" i="38"/>
  <c r="I267" i="51" s="1"/>
  <c r="H274" i="51" s="1"/>
  <c r="G38" i="54"/>
  <c r="G135" i="54" s="1"/>
  <c r="E38" i="54"/>
  <c r="E135" i="54" s="1"/>
  <c r="G266" i="38"/>
  <c r="G267" i="51" s="1"/>
  <c r="F274" i="51" s="1"/>
  <c r="C59" i="51"/>
  <c r="C55" i="38"/>
  <c r="C12" i="54" s="1"/>
  <c r="E266" i="38"/>
  <c r="E267" i="51" s="1"/>
  <c r="D274" i="51" s="1"/>
  <c r="C38" i="54"/>
  <c r="C135" i="54" s="1"/>
  <c r="F38" i="54"/>
  <c r="F135" i="54" s="1"/>
  <c r="H266" i="38"/>
  <c r="H267" i="51" s="1"/>
  <c r="G274" i="51" s="1"/>
  <c r="J38" i="54"/>
  <c r="J135" i="54" s="1"/>
  <c r="L266" i="38"/>
  <c r="L267" i="51" s="1"/>
  <c r="H38" i="54"/>
  <c r="H135" i="54" s="1"/>
  <c r="J266" i="38"/>
  <c r="J267" i="51" s="1"/>
  <c r="N266" i="38"/>
  <c r="N267" i="51" s="1"/>
  <c r="M274" i="51" s="1"/>
  <c r="L38" i="54"/>
  <c r="L135" i="54" s="1"/>
  <c r="B130" i="51"/>
  <c r="B84" i="54" s="1"/>
  <c r="B118" i="54" s="1"/>
  <c r="C14" i="52"/>
  <c r="C9" i="52"/>
  <c r="C13" i="52"/>
  <c r="C10" i="52"/>
  <c r="C17" i="52"/>
  <c r="C12" i="52"/>
  <c r="G77" i="42"/>
  <c r="G78" i="42" s="1"/>
  <c r="G79" i="42" s="1"/>
  <c r="G80" i="42" s="1"/>
  <c r="M176" i="51"/>
  <c r="M55" i="38"/>
  <c r="M12" i="54" s="1"/>
  <c r="M59" i="51"/>
  <c r="M103" i="38"/>
  <c r="M60" i="54" s="1"/>
  <c r="M107" i="51"/>
  <c r="M108" i="51"/>
  <c r="M104" i="38"/>
  <c r="M61" i="54" s="1"/>
  <c r="N176" i="51"/>
  <c r="N127" i="38"/>
  <c r="N131" i="51"/>
  <c r="N85" i="54" s="1"/>
  <c r="N119" i="54" s="1"/>
  <c r="N103" i="38"/>
  <c r="N60" i="54" s="1"/>
  <c r="N107" i="51"/>
  <c r="N104" i="38"/>
  <c r="N61" i="54" s="1"/>
  <c r="N108" i="51"/>
  <c r="O274" i="51" s="1"/>
  <c r="N56" i="38"/>
  <c r="N13" i="54" s="1"/>
  <c r="N60" i="51"/>
  <c r="O276" i="51" s="1"/>
  <c r="M56" i="38"/>
  <c r="M13" i="54" s="1"/>
  <c r="M60" i="51"/>
  <c r="N276" i="51" s="1"/>
  <c r="M126" i="38"/>
  <c r="M130" i="51"/>
  <c r="M84" i="54" s="1"/>
  <c r="M118" i="54" s="1"/>
  <c r="N175" i="51"/>
  <c r="N55" i="38"/>
  <c r="N12" i="54" s="1"/>
  <c r="N59" i="51"/>
  <c r="N126" i="38"/>
  <c r="N130" i="51"/>
  <c r="N84" i="54" s="1"/>
  <c r="N118" i="54" s="1"/>
  <c r="M127" i="38"/>
  <c r="M131" i="51"/>
  <c r="M85" i="54" s="1"/>
  <c r="M119" i="54" s="1"/>
  <c r="J126" i="38"/>
  <c r="J130" i="51"/>
  <c r="J84" i="54" s="1"/>
  <c r="J118" i="54" s="1"/>
  <c r="C18" i="52"/>
  <c r="C11" i="52"/>
  <c r="C16" i="52"/>
  <c r="C15" i="52"/>
  <c r="L56" i="38"/>
  <c r="L13" i="54" s="1"/>
  <c r="L55" i="38"/>
  <c r="L12" i="54" s="1"/>
  <c r="H56" i="38"/>
  <c r="H13" i="54" s="1"/>
  <c r="F55" i="38"/>
  <c r="F12" i="54" s="1"/>
  <c r="J56" i="38"/>
  <c r="J13" i="54" s="1"/>
  <c r="F56" i="38"/>
  <c r="F13" i="54" s="1"/>
  <c r="E56" i="38"/>
  <c r="E13" i="54" s="1"/>
  <c r="D56" i="38"/>
  <c r="C104" i="38"/>
  <c r="E103" i="38"/>
  <c r="E60" i="54" s="1"/>
  <c r="I103" i="38"/>
  <c r="I60" i="54" s="1"/>
  <c r="I104" i="38"/>
  <c r="I61" i="54" s="1"/>
  <c r="D103" i="38"/>
  <c r="D60" i="54" s="1"/>
  <c r="H103" i="38"/>
  <c r="H60" i="54" s="1"/>
  <c r="L103" i="38"/>
  <c r="L60" i="54" s="1"/>
  <c r="B104" i="38"/>
  <c r="B61" i="54" s="1"/>
  <c r="E104" i="38"/>
  <c r="E61" i="54" s="1"/>
  <c r="G104" i="38"/>
  <c r="G61" i="54" s="1"/>
  <c r="J104" i="38"/>
  <c r="J61" i="54" s="1"/>
  <c r="E127" i="38"/>
  <c r="C127" i="38"/>
  <c r="B127" i="38"/>
  <c r="K126" i="38"/>
  <c r="G126" i="38"/>
  <c r="C126" i="38"/>
  <c r="D273" i="38" s="1"/>
  <c r="L126" i="38"/>
  <c r="D126" i="38"/>
  <c r="E273" i="38" s="1"/>
  <c r="G127" i="38"/>
  <c r="K55" i="38"/>
  <c r="K12" i="54" s="1"/>
  <c r="J55" i="38"/>
  <c r="J12" i="54" s="1"/>
  <c r="D55" i="38"/>
  <c r="D12" i="54" s="1"/>
  <c r="I55" i="38"/>
  <c r="I12" i="54" s="1"/>
  <c r="E55" i="38"/>
  <c r="E12" i="54" s="1"/>
  <c r="G55" i="38"/>
  <c r="G12" i="54" s="1"/>
  <c r="H55" i="38"/>
  <c r="H12" i="54" s="1"/>
  <c r="B55" i="38"/>
  <c r="B12" i="54" s="1"/>
  <c r="K56" i="38"/>
  <c r="K13" i="54" s="1"/>
  <c r="G56" i="38"/>
  <c r="G13" i="54" s="1"/>
  <c r="B56" i="38"/>
  <c r="B13" i="54" s="1"/>
  <c r="C56" i="38"/>
  <c r="C103" i="38"/>
  <c r="C60" i="54" s="1"/>
  <c r="G103" i="38"/>
  <c r="G60" i="54" s="1"/>
  <c r="K103" i="38"/>
  <c r="K60" i="54" s="1"/>
  <c r="B103" i="38"/>
  <c r="B60" i="54" s="1"/>
  <c r="F103" i="38"/>
  <c r="F60" i="54" s="1"/>
  <c r="J103" i="38"/>
  <c r="J60" i="54" s="1"/>
  <c r="L104" i="38"/>
  <c r="L61" i="54" s="1"/>
  <c r="H104" i="38"/>
  <c r="H61" i="54" s="1"/>
  <c r="F104" i="38"/>
  <c r="F61" i="54" s="1"/>
  <c r="K104" i="38"/>
  <c r="K61" i="54" s="1"/>
  <c r="D104" i="38"/>
  <c r="D61" i="54" s="1"/>
  <c r="L127" i="38"/>
  <c r="H127" i="38"/>
  <c r="J127" i="38"/>
  <c r="F127" i="38"/>
  <c r="I126" i="38"/>
  <c r="E126" i="38"/>
  <c r="H126" i="38"/>
  <c r="F126" i="38"/>
  <c r="I127" i="38"/>
  <c r="D127" i="38"/>
  <c r="K127" i="38"/>
  <c r="B126" i="38"/>
  <c r="H71" i="4"/>
  <c r="I71" i="4" s="1"/>
  <c r="I60" i="51" s="1"/>
  <c r="J276" i="51" s="1"/>
  <c r="G111" i="4"/>
  <c r="G112" i="4" s="1"/>
  <c r="G113" i="4" s="1"/>
  <c r="G114" i="4" s="1"/>
  <c r="F265" i="38" l="1"/>
  <c r="D13" i="54"/>
  <c r="N274" i="51"/>
  <c r="E265" i="38"/>
  <c r="C13" i="54"/>
  <c r="E267" i="38"/>
  <c r="E268" i="51" s="1"/>
  <c r="D277" i="51" s="1"/>
  <c r="C61" i="54"/>
  <c r="E275" i="38"/>
  <c r="M283" i="38" s="1"/>
  <c r="K296" i="38" s="1"/>
  <c r="F267" i="38"/>
  <c r="F268" i="51" s="1"/>
  <c r="E277" i="51" s="1"/>
  <c r="F275" i="38"/>
  <c r="G267" i="38"/>
  <c r="D275" i="38"/>
  <c r="D283" i="38" s="1"/>
  <c r="M273" i="38"/>
  <c r="N265" i="38"/>
  <c r="H273" i="38"/>
  <c r="I265" i="38"/>
  <c r="O273" i="38"/>
  <c r="P265" i="38"/>
  <c r="G275" i="38"/>
  <c r="H267" i="38"/>
  <c r="H268" i="51" s="1"/>
  <c r="G277" i="51" s="1"/>
  <c r="L273" i="38"/>
  <c r="M265" i="38"/>
  <c r="D281" i="38"/>
  <c r="K275" i="38"/>
  <c r="L267" i="38"/>
  <c r="F273" i="38"/>
  <c r="E281" i="38" s="1"/>
  <c r="G265" i="38"/>
  <c r="I273" i="38"/>
  <c r="J265" i="38"/>
  <c r="M275" i="38"/>
  <c r="L283" i="38" s="1"/>
  <c r="J296" i="38" s="1"/>
  <c r="N267" i="38"/>
  <c r="N268" i="51" s="1"/>
  <c r="M277" i="51" s="1"/>
  <c r="K273" i="38"/>
  <c r="L265" i="38"/>
  <c r="L275" i="38"/>
  <c r="M267" i="38"/>
  <c r="M268" i="51" s="1"/>
  <c r="L277" i="51" s="1"/>
  <c r="J275" i="38"/>
  <c r="K267" i="38"/>
  <c r="I275" i="38"/>
  <c r="J267" i="38"/>
  <c r="J268" i="51" s="1"/>
  <c r="I277" i="51" s="1"/>
  <c r="H275" i="38"/>
  <c r="I267" i="38"/>
  <c r="G273" i="38"/>
  <c r="H265" i="38"/>
  <c r="N273" i="38"/>
  <c r="O265" i="38"/>
  <c r="O275" i="38"/>
  <c r="N283" i="38" s="1"/>
  <c r="L296" i="38" s="1"/>
  <c r="P267" i="38"/>
  <c r="P268" i="51" s="1"/>
  <c r="O277" i="51" s="1"/>
  <c r="N275" i="38"/>
  <c r="O267" i="38"/>
  <c r="L276" i="38"/>
  <c r="F283" i="38"/>
  <c r="D296" i="38" s="1"/>
  <c r="H283" i="38"/>
  <c r="F296" i="38" s="1"/>
  <c r="J283" i="38"/>
  <c r="H296" i="38" s="1"/>
  <c r="G283" i="38"/>
  <c r="E296" i="38" s="1"/>
  <c r="E283" i="38"/>
  <c r="C296" i="38" s="1"/>
  <c r="I283" i="38"/>
  <c r="G296" i="38" s="1"/>
  <c r="B296" i="38"/>
  <c r="I56" i="38"/>
  <c r="I13" i="54" s="1"/>
  <c r="N274" i="38" l="1"/>
  <c r="O266" i="51"/>
  <c r="N275" i="51" s="1"/>
  <c r="I274" i="38"/>
  <c r="J266" i="51"/>
  <c r="I275" i="51" s="1"/>
  <c r="F274" i="38"/>
  <c r="G266" i="51"/>
  <c r="F275" i="51" s="1"/>
  <c r="E266" i="51"/>
  <c r="D274" i="38"/>
  <c r="L274" i="38"/>
  <c r="K282" i="38" s="1"/>
  <c r="I295" i="38" s="1"/>
  <c r="M266" i="51"/>
  <c r="L275" i="51" s="1"/>
  <c r="K283" i="38"/>
  <c r="I296" i="38" s="1"/>
  <c r="O274" i="38"/>
  <c r="N282" i="38" s="1"/>
  <c r="L295" i="38" s="1"/>
  <c r="P266" i="51"/>
  <c r="O275" i="51" s="1"/>
  <c r="H274" i="38"/>
  <c r="G282" i="38" s="1"/>
  <c r="E295" i="38" s="1"/>
  <c r="I266" i="51"/>
  <c r="H275" i="51" s="1"/>
  <c r="M274" i="38"/>
  <c r="L282" i="38" s="1"/>
  <c r="J295" i="38" s="1"/>
  <c r="N266" i="51"/>
  <c r="M275" i="51" s="1"/>
  <c r="G274" i="38"/>
  <c r="H266" i="51"/>
  <c r="G275" i="51" s="1"/>
  <c r="O276" i="38"/>
  <c r="D276" i="38"/>
  <c r="K274" i="38"/>
  <c r="L266" i="51"/>
  <c r="K275" i="51" s="1"/>
  <c r="E274" i="38"/>
  <c r="F266" i="51"/>
  <c r="E275" i="51" s="1"/>
  <c r="M276" i="38"/>
  <c r="J276" i="38"/>
  <c r="K268" i="51"/>
  <c r="J277" i="51" s="1"/>
  <c r="K276" i="38"/>
  <c r="L268" i="51"/>
  <c r="K277" i="51" s="1"/>
  <c r="I276" i="38"/>
  <c r="F276" i="38"/>
  <c r="G268" i="51"/>
  <c r="F277" i="51" s="1"/>
  <c r="G276" i="38"/>
  <c r="E276" i="38"/>
  <c r="O314" i="38" s="1" a="1"/>
  <c r="Q317" i="38" s="1"/>
  <c r="N276" i="38"/>
  <c r="O268" i="51"/>
  <c r="N277" i="51" s="1"/>
  <c r="H276" i="38"/>
  <c r="I268" i="51"/>
  <c r="H277" i="51" s="1"/>
  <c r="J273" i="38"/>
  <c r="K265" i="38"/>
  <c r="J281" i="38"/>
  <c r="F281" i="38"/>
  <c r="K281" i="38"/>
  <c r="M281" i="38"/>
  <c r="G281" i="38"/>
  <c r="I281" i="38"/>
  <c r="H281" i="38"/>
  <c r="N281" i="38"/>
  <c r="L281" i="38"/>
  <c r="J274" i="38" l="1"/>
  <c r="I282" i="38" s="1"/>
  <c r="G295" i="38" s="1"/>
  <c r="K266" i="51"/>
  <c r="J275" i="51" s="1"/>
  <c r="J282" i="38"/>
  <c r="H295" i="38" s="1"/>
  <c r="H282" i="38"/>
  <c r="F295" i="38" s="1"/>
  <c r="E282" i="38"/>
  <c r="C295" i="38" s="1"/>
  <c r="D282" i="38"/>
  <c r="B295" i="38" s="1"/>
  <c r="F282" i="38"/>
  <c r="D295" i="38" s="1"/>
  <c r="M282" i="38"/>
  <c r="K295" i="38" s="1"/>
  <c r="L284" i="38"/>
  <c r="J297" i="38" s="1"/>
  <c r="M284" i="38"/>
  <c r="K297" i="38" s="1"/>
  <c r="N284" i="38"/>
  <c r="L297" i="38" s="1"/>
  <c r="K284" i="38"/>
  <c r="I297" i="38" s="1"/>
  <c r="H284" i="38"/>
  <c r="F297" i="38" s="1"/>
  <c r="D284" i="38"/>
  <c r="B297" i="38" s="1"/>
  <c r="F284" i="38"/>
  <c r="D297" i="38" s="1"/>
  <c r="J284" i="38"/>
  <c r="H297" i="38" s="1"/>
  <c r="Q314" i="38"/>
  <c r="O317" i="38"/>
  <c r="O318" i="38"/>
  <c r="P321" i="38"/>
  <c r="O321" i="38"/>
  <c r="O315" i="38"/>
  <c r="Q318" i="38"/>
  <c r="P315" i="38"/>
  <c r="P320" i="38"/>
  <c r="P319" i="38"/>
  <c r="O316" i="38"/>
  <c r="Q321" i="38"/>
  <c r="P318" i="38"/>
  <c r="G284" i="38"/>
  <c r="E297" i="38" s="1"/>
  <c r="E284" i="38"/>
  <c r="C297" i="38" s="1"/>
  <c r="O319" i="38"/>
  <c r="Q319" i="38"/>
  <c r="Q320" i="38"/>
  <c r="O320" i="38"/>
  <c r="Q316" i="38"/>
  <c r="P317" i="38"/>
  <c r="O314" i="38"/>
  <c r="P314" i="38"/>
  <c r="P316" i="38"/>
  <c r="Q315" i="38"/>
  <c r="I284" i="38"/>
  <c r="G297" i="38" s="1"/>
  <c r="G294" i="38"/>
  <c r="C294" i="38"/>
  <c r="J294" i="38"/>
  <c r="J288" i="38"/>
  <c r="J293" i="38" s="1"/>
  <c r="E294" i="38"/>
  <c r="B294" i="38"/>
  <c r="L294" i="38"/>
  <c r="D294" i="38"/>
  <c r="F294" i="38"/>
  <c r="I294" i="38"/>
  <c r="H294" i="38"/>
  <c r="K294" i="38"/>
  <c r="F288" i="38" l="1"/>
  <c r="F293" i="38" s="1"/>
  <c r="K288" i="38"/>
  <c r="K293" i="38" s="1"/>
  <c r="L288" i="38"/>
  <c r="L293" i="38" s="1"/>
  <c r="I288" i="38"/>
  <c r="I293" i="38" s="1"/>
  <c r="D288" i="38"/>
  <c r="D293" i="38" s="1"/>
  <c r="E288" i="38"/>
  <c r="E293" i="38" s="1"/>
  <c r="B288" i="38"/>
  <c r="B293" i="38" s="1"/>
  <c r="C288" i="38"/>
  <c r="C323" i="38" s="1"/>
  <c r="H288" i="38"/>
  <c r="H293" i="38" s="1"/>
  <c r="G288" i="38"/>
  <c r="G293" i="38" s="1"/>
  <c r="F323" i="38"/>
  <c r="C293" i="38" l="1"/>
  <c r="B323" i="38"/>
  <c r="G323" i="38"/>
  <c r="C19" i="38" s="1"/>
  <c r="C14" i="38"/>
  <c r="L323" i="38"/>
  <c r="C23" i="38" s="1"/>
  <c r="G18" i="52" s="1"/>
  <c r="K323" i="38"/>
  <c r="E323" i="38"/>
  <c r="C17" i="38" s="1"/>
  <c r="I323" i="38"/>
  <c r="C21" i="38" s="1"/>
  <c r="H323" i="38"/>
  <c r="C20" i="38" s="1"/>
  <c r="D323" i="38"/>
  <c r="C16" i="38" s="1"/>
  <c r="C15" i="38"/>
  <c r="C18" i="38"/>
  <c r="J323" i="38"/>
  <c r="C22" i="38" s="1"/>
  <c r="G14" i="52" l="1"/>
  <c r="G13" i="52"/>
  <c r="G9" i="52"/>
  <c r="G15" i="52"/>
  <c r="G12" i="52"/>
  <c r="G17" i="52"/>
  <c r="G10" i="52"/>
  <c r="G11" i="52"/>
  <c r="G16" i="52"/>
  <c r="Z316" i="51" l="1" a="1"/>
  <c r="AA322" i="51" s="1"/>
  <c r="U292" i="51" a="1"/>
  <c r="V292" i="51" s="1"/>
  <c r="U316" i="51" a="1"/>
  <c r="W320" i="51" s="1"/>
  <c r="Z304" i="51" a="1"/>
  <c r="AA305" i="51" s="1"/>
  <c r="U280" i="51" a="1"/>
  <c r="W281" i="51" s="1"/>
  <c r="P304" i="51" a="1"/>
  <c r="Q311" i="51" s="1"/>
  <c r="Z280" i="51" a="1"/>
  <c r="Z280" i="51" s="1"/>
  <c r="P316" i="51" a="1"/>
  <c r="R318" i="51" s="1"/>
  <c r="P292" i="51" a="1"/>
  <c r="R295" i="51" s="1"/>
  <c r="U304" i="51" a="1"/>
  <c r="W310" i="51" s="1"/>
  <c r="P280" i="51" a="1"/>
  <c r="R280" i="51" s="1"/>
  <c r="Z292" i="51" a="1"/>
  <c r="AA299" i="51" s="1"/>
  <c r="V297" i="51" l="1"/>
  <c r="U298" i="51"/>
  <c r="U296" i="51"/>
  <c r="AB322" i="51"/>
  <c r="Z320" i="51"/>
  <c r="AA316" i="51"/>
  <c r="AB320" i="51"/>
  <c r="AB321" i="51"/>
  <c r="Z318" i="51"/>
  <c r="Z319" i="51"/>
  <c r="Z316" i="51"/>
  <c r="AB323" i="51"/>
  <c r="Z322" i="51"/>
  <c r="AB318" i="51"/>
  <c r="Z323" i="51"/>
  <c r="AB317" i="51"/>
  <c r="AA318" i="51"/>
  <c r="AA320" i="51"/>
  <c r="Z321" i="51"/>
  <c r="AB319" i="51"/>
  <c r="AA317" i="51"/>
  <c r="AA321" i="51"/>
  <c r="AB316" i="51"/>
  <c r="AA323" i="51"/>
  <c r="Z317" i="51"/>
  <c r="AA319" i="51"/>
  <c r="V282" i="51"/>
  <c r="R294" i="51"/>
  <c r="U286" i="51"/>
  <c r="V287" i="51"/>
  <c r="W280" i="51"/>
  <c r="R299" i="51"/>
  <c r="W286" i="51"/>
  <c r="Q293" i="51"/>
  <c r="U280" i="51"/>
  <c r="W287" i="51"/>
  <c r="P293" i="51"/>
  <c r="V281" i="51"/>
  <c r="P294" i="51"/>
  <c r="W285" i="51"/>
  <c r="U285" i="51"/>
  <c r="U284" i="51"/>
  <c r="Q292" i="51"/>
  <c r="V286" i="51"/>
  <c r="U282" i="51"/>
  <c r="V284" i="51"/>
  <c r="U281" i="51"/>
  <c r="W282" i="51"/>
  <c r="P292" i="51"/>
  <c r="V285" i="51"/>
  <c r="V283" i="51"/>
  <c r="P298" i="51"/>
  <c r="W283" i="51"/>
  <c r="R297" i="51"/>
  <c r="P307" i="51"/>
  <c r="P297" i="51"/>
  <c r="Q310" i="51"/>
  <c r="Q296" i="51"/>
  <c r="R311" i="51"/>
  <c r="AB281" i="51"/>
  <c r="Z287" i="51"/>
  <c r="W317" i="51"/>
  <c r="W299" i="51"/>
  <c r="Z283" i="51"/>
  <c r="U317" i="51"/>
  <c r="P295" i="51"/>
  <c r="R296" i="51"/>
  <c r="P296" i="51"/>
  <c r="Q295" i="51"/>
  <c r="AA286" i="51"/>
  <c r="P286" i="51"/>
  <c r="P311" i="51"/>
  <c r="Q287" i="51"/>
  <c r="W322" i="51"/>
  <c r="U320" i="51"/>
  <c r="R285" i="51"/>
  <c r="V322" i="51"/>
  <c r="Q285" i="51"/>
  <c r="AB284" i="51"/>
  <c r="V316" i="51"/>
  <c r="W319" i="51"/>
  <c r="Z286" i="51"/>
  <c r="U321" i="51"/>
  <c r="Q286" i="51"/>
  <c r="Q299" i="51"/>
  <c r="P299" i="51"/>
  <c r="W284" i="51"/>
  <c r="Q297" i="51"/>
  <c r="U287" i="51"/>
  <c r="U283" i="51"/>
  <c r="AB282" i="51"/>
  <c r="U322" i="51"/>
  <c r="AA285" i="51"/>
  <c r="Q298" i="51"/>
  <c r="Q294" i="51"/>
  <c r="V280" i="51"/>
  <c r="P283" i="51"/>
  <c r="V319" i="51"/>
  <c r="R293" i="51"/>
  <c r="W318" i="51"/>
  <c r="Z299" i="51"/>
  <c r="AB286" i="51"/>
  <c r="AA282" i="51"/>
  <c r="R284" i="51"/>
  <c r="R287" i="51"/>
  <c r="R283" i="51"/>
  <c r="Q284" i="51"/>
  <c r="R286" i="51"/>
  <c r="AA306" i="51"/>
  <c r="AB310" i="51"/>
  <c r="Z308" i="51"/>
  <c r="R298" i="51"/>
  <c r="R292" i="51"/>
  <c r="P280" i="51"/>
  <c r="P287" i="51"/>
  <c r="AB305" i="51"/>
  <c r="AB296" i="51"/>
  <c r="AB297" i="51"/>
  <c r="Z297" i="51"/>
  <c r="AB295" i="51"/>
  <c r="AA294" i="51"/>
  <c r="AA293" i="51"/>
  <c r="AA297" i="51"/>
  <c r="Z294" i="51"/>
  <c r="AB299" i="51"/>
  <c r="AB294" i="51"/>
  <c r="AA295" i="51"/>
  <c r="Z293" i="51"/>
  <c r="AA296" i="51"/>
  <c r="P323" i="51"/>
  <c r="R316" i="51"/>
  <c r="Q323" i="51"/>
  <c r="P319" i="51"/>
  <c r="R320" i="51"/>
  <c r="Q317" i="51"/>
  <c r="P321" i="51"/>
  <c r="P322" i="51"/>
  <c r="Q318" i="51"/>
  <c r="Q319" i="51"/>
  <c r="R319" i="51"/>
  <c r="AB308" i="51"/>
  <c r="AA310" i="51"/>
  <c r="Z306" i="51"/>
  <c r="Z304" i="51"/>
  <c r="AA308" i="51"/>
  <c r="AB306" i="51"/>
  <c r="Z309" i="51"/>
  <c r="AA309" i="51"/>
  <c r="AA311" i="51"/>
  <c r="Z307" i="51"/>
  <c r="AB307" i="51"/>
  <c r="AA307" i="51"/>
  <c r="AB309" i="51"/>
  <c r="AA304" i="51"/>
  <c r="AB292" i="51"/>
  <c r="R321" i="51"/>
  <c r="Z311" i="51"/>
  <c r="AB293" i="51"/>
  <c r="Q322" i="51"/>
  <c r="AB304" i="51"/>
  <c r="Z296" i="51"/>
  <c r="P317" i="51"/>
  <c r="Z310" i="51"/>
  <c r="AB311" i="51"/>
  <c r="Q321" i="51"/>
  <c r="P318" i="51"/>
  <c r="Z305" i="51"/>
  <c r="R317" i="51"/>
  <c r="Z292" i="51"/>
  <c r="P316" i="51"/>
  <c r="Z298" i="51"/>
  <c r="Q320" i="51"/>
  <c r="Q316" i="51"/>
  <c r="R322" i="51"/>
  <c r="Z295" i="51"/>
  <c r="R323" i="51"/>
  <c r="AA298" i="51"/>
  <c r="AB298" i="51"/>
  <c r="P320" i="51"/>
  <c r="AA292" i="51"/>
  <c r="AA283" i="51"/>
  <c r="R282" i="51"/>
  <c r="AA287" i="51"/>
  <c r="Z281" i="51"/>
  <c r="P282" i="51"/>
  <c r="Q283" i="51"/>
  <c r="V320" i="51"/>
  <c r="W321" i="51"/>
  <c r="AB280" i="51"/>
  <c r="P285" i="51"/>
  <c r="P281" i="51"/>
  <c r="U318" i="51"/>
  <c r="AA284" i="51"/>
  <c r="V318" i="51"/>
  <c r="AA281" i="51"/>
  <c r="AB285" i="51"/>
  <c r="R281" i="51"/>
  <c r="U319" i="51"/>
  <c r="U323" i="51"/>
  <c r="W316" i="51"/>
  <c r="W296" i="51"/>
  <c r="Z284" i="51"/>
  <c r="Q281" i="51"/>
  <c r="Q280" i="51"/>
  <c r="V323" i="51"/>
  <c r="Z282" i="51"/>
  <c r="P306" i="51"/>
  <c r="W323" i="51"/>
  <c r="AB287" i="51"/>
  <c r="AA280" i="51"/>
  <c r="R305" i="51"/>
  <c r="Q282" i="51"/>
  <c r="U316" i="51"/>
  <c r="V317" i="51"/>
  <c r="AB283" i="51"/>
  <c r="P284" i="51"/>
  <c r="Z285" i="51"/>
  <c r="R306" i="51"/>
  <c r="V321" i="51"/>
  <c r="W305" i="51"/>
  <c r="W311" i="51"/>
  <c r="W304" i="51"/>
  <c r="U304" i="51"/>
  <c r="U310" i="51"/>
  <c r="U308" i="51"/>
  <c r="W308" i="51"/>
  <c r="V310" i="51"/>
  <c r="V311" i="51"/>
  <c r="V304" i="51"/>
  <c r="U293" i="51"/>
  <c r="W307" i="51"/>
  <c r="U309" i="51"/>
  <c r="U294" i="51"/>
  <c r="V298" i="51"/>
  <c r="R309" i="51"/>
  <c r="U297" i="51"/>
  <c r="W309" i="51"/>
  <c r="V308" i="51"/>
  <c r="V296" i="51"/>
  <c r="W297" i="51"/>
  <c r="Q307" i="51"/>
  <c r="Q304" i="51"/>
  <c r="V306" i="51"/>
  <c r="W295" i="51"/>
  <c r="P305" i="51"/>
  <c r="R304" i="51"/>
  <c r="Q308" i="51"/>
  <c r="U305" i="51"/>
  <c r="U299" i="51"/>
  <c r="R310" i="51"/>
  <c r="P309" i="51"/>
  <c r="U295" i="51"/>
  <c r="V309" i="51"/>
  <c r="V305" i="51"/>
  <c r="W298" i="51"/>
  <c r="W294" i="51"/>
  <c r="Q309" i="51"/>
  <c r="V293" i="51"/>
  <c r="W306" i="51"/>
  <c r="U306" i="51"/>
  <c r="V299" i="51"/>
  <c r="V295" i="51"/>
  <c r="R308" i="51"/>
  <c r="R307" i="51"/>
  <c r="U311" i="51"/>
  <c r="W292" i="51"/>
  <c r="P308" i="51"/>
  <c r="P304" i="51"/>
  <c r="Q306" i="51"/>
  <c r="V307" i="51"/>
  <c r="V294" i="51"/>
  <c r="Q305" i="51"/>
  <c r="P310" i="51"/>
  <c r="U292" i="51"/>
  <c r="U307" i="51"/>
  <c r="W293" i="51"/>
  <c r="B46" i="51" l="1"/>
  <c r="F12" i="52" s="1"/>
  <c r="B52" i="51"/>
  <c r="F18" i="52" s="1"/>
  <c r="B45" i="51"/>
  <c r="F11" i="52" s="1"/>
  <c r="B43" i="51"/>
  <c r="B42" i="51"/>
  <c r="F9" i="52" s="1"/>
  <c r="B44" i="51"/>
  <c r="F10" i="52" s="1"/>
  <c r="B49" i="51"/>
  <c r="F15" i="52" s="1"/>
  <c r="B51" i="51"/>
  <c r="F17" i="52" s="1"/>
  <c r="B47" i="51"/>
  <c r="F13" i="52" s="1"/>
  <c r="B50" i="51"/>
  <c r="F16" i="52" s="1"/>
  <c r="B48" i="51"/>
  <c r="F14" i="5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Shradhye Shrestha</author>
  </authors>
  <commentList>
    <comment ref="B1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Shradhye Shrestha: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B1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Shradhye Shrestha: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B2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Shradhye Shrestha:</t>
        </r>
        <r>
          <rPr>
            <sz val="9"/>
            <color indexed="81"/>
            <rFont val="Tahoma"/>
            <family val="2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<sst xmlns="http://schemas.openxmlformats.org/spreadsheetml/2006/main" count="898" uniqueCount="273">
  <si>
    <t>Method</t>
  </si>
  <si>
    <t>Return period (years)</t>
  </si>
  <si>
    <t>Q2</t>
  </si>
  <si>
    <t>Q10</t>
  </si>
  <si>
    <t>Q100</t>
  </si>
  <si>
    <t>Q500</t>
  </si>
  <si>
    <t>Q1000</t>
  </si>
  <si>
    <t>Gumbel</t>
  </si>
  <si>
    <t>Log normal</t>
  </si>
  <si>
    <t>Log Pearson III</t>
  </si>
  <si>
    <t xml:space="preserve">HYDROLOGICAL CALCULATION </t>
  </si>
  <si>
    <t>Job</t>
  </si>
  <si>
    <t>Subject</t>
  </si>
  <si>
    <t>Date</t>
  </si>
  <si>
    <t>Flow data</t>
  </si>
  <si>
    <t>Year</t>
  </si>
  <si>
    <t>Maximum flow</t>
  </si>
  <si>
    <t>X = Qi</t>
  </si>
  <si>
    <t>y = log(x)</t>
  </si>
  <si>
    <t>Statistical Parameter</t>
  </si>
  <si>
    <t>Mean</t>
  </si>
  <si>
    <t>Std. Deviation</t>
  </si>
  <si>
    <t>s</t>
  </si>
  <si>
    <t>Coef Skew</t>
  </si>
  <si>
    <t>Statistical Analiysis</t>
  </si>
  <si>
    <t>Return Period</t>
  </si>
  <si>
    <t>Parameters</t>
  </si>
  <si>
    <t>Log Pearsion III</t>
  </si>
  <si>
    <t>p</t>
  </si>
  <si>
    <t>w</t>
  </si>
  <si>
    <t>z</t>
  </si>
  <si>
    <t>X</t>
  </si>
  <si>
    <t>yT</t>
  </si>
  <si>
    <t>xT</t>
  </si>
  <si>
    <t>Calculation</t>
  </si>
  <si>
    <t>Extreme Discharges</t>
  </si>
  <si>
    <t>Q5</t>
  </si>
  <si>
    <t>Q20</t>
  </si>
  <si>
    <t>Q50</t>
  </si>
  <si>
    <t>Q200</t>
  </si>
  <si>
    <t>1.) Flood flow analysis (CAR Method)</t>
  </si>
  <si>
    <t>Return period</t>
  </si>
  <si>
    <t>River:</t>
  </si>
  <si>
    <t>Dordi I Hydroelectric Project</t>
  </si>
  <si>
    <t>Hydro Consult Pvt Ltd</t>
  </si>
  <si>
    <t xml:space="preserve">Frequency analysis of station </t>
  </si>
  <si>
    <t xml:space="preserve">Stration No. </t>
  </si>
  <si>
    <t xml:space="preserve">Location: </t>
  </si>
  <si>
    <t>Job No:</t>
  </si>
  <si>
    <t>Calculated by:</t>
  </si>
  <si>
    <t>Checked by:</t>
  </si>
  <si>
    <t>Refernce:  Applied Hydrology by VT Chow</t>
  </si>
  <si>
    <r>
      <t>y</t>
    </r>
    <r>
      <rPr>
        <vertAlign val="subscript"/>
        <sz val="10"/>
        <rFont val="Gill Sans MT"/>
        <family val="2"/>
      </rPr>
      <t>mean</t>
    </r>
  </si>
  <si>
    <r>
      <t>C</t>
    </r>
    <r>
      <rPr>
        <vertAlign val="subscript"/>
        <sz val="10"/>
        <rFont val="Gill Sans MT"/>
        <family val="2"/>
      </rPr>
      <t>s</t>
    </r>
  </si>
  <si>
    <r>
      <t>X</t>
    </r>
    <r>
      <rPr>
        <vertAlign val="subscript"/>
        <sz val="10"/>
        <rFont val="Gill Sans MT"/>
        <family val="2"/>
      </rPr>
      <t>T</t>
    </r>
  </si>
  <si>
    <r>
      <t>K</t>
    </r>
    <r>
      <rPr>
        <vertAlign val="subscript"/>
        <sz val="10"/>
        <rFont val="Gill Sans MT"/>
        <family val="2"/>
      </rPr>
      <t>T</t>
    </r>
  </si>
  <si>
    <t>Station Details</t>
  </si>
  <si>
    <t xml:space="preserve">Source: </t>
  </si>
  <si>
    <t>Flood flow estimation</t>
  </si>
  <si>
    <t>Gauge station</t>
  </si>
  <si>
    <t xml:space="preserve">Total </t>
  </si>
  <si>
    <t>Above 5000</t>
  </si>
  <si>
    <t>Below 5000</t>
  </si>
  <si>
    <t>Hydrological Calculation</t>
  </si>
  <si>
    <t xml:space="preserve">Area  below 5000 m </t>
  </si>
  <si>
    <t>Hydro-Consult Engineering Ltd</t>
  </si>
  <si>
    <t xml:space="preserve">Calculated by: SP Bhusal </t>
  </si>
  <si>
    <t xml:space="preserve">Sabaya Khola </t>
  </si>
  <si>
    <t xml:space="preserve">Sankhuwa HEP </t>
  </si>
  <si>
    <t>Flood flow at Solukhola HP Intake site</t>
  </si>
  <si>
    <t>Sankhuwa at Intake</t>
  </si>
  <si>
    <t>Sankhuwa at PH</t>
  </si>
  <si>
    <t xml:space="preserve">Sabaya  Khola </t>
  </si>
  <si>
    <t>-</t>
  </si>
  <si>
    <r>
      <t>Y</t>
    </r>
    <r>
      <rPr>
        <vertAlign val="subscript"/>
        <sz val="8"/>
        <rFont val="Gill Sans MT"/>
        <family val="2"/>
      </rPr>
      <t>100</t>
    </r>
    <r>
      <rPr>
        <sz val="8"/>
        <rFont val="Gill Sans MT"/>
        <family val="2"/>
      </rPr>
      <t>-Y</t>
    </r>
    <r>
      <rPr>
        <vertAlign val="subscript"/>
        <sz val="8"/>
        <rFont val="Gill Sans MT"/>
        <family val="2"/>
      </rPr>
      <t>2</t>
    </r>
  </si>
  <si>
    <t>dz</t>
  </si>
  <si>
    <r>
      <t>y</t>
    </r>
    <r>
      <rPr>
        <vertAlign val="subscript"/>
        <sz val="8"/>
        <rFont val="Gill Sans MT"/>
        <family val="2"/>
      </rPr>
      <t>mean</t>
    </r>
  </si>
  <si>
    <t>Bimalnagar</t>
  </si>
  <si>
    <t>Marsyangdi</t>
  </si>
  <si>
    <t>Bhakunde Besi (439.35)</t>
  </si>
  <si>
    <t>Bhakundebesi</t>
  </si>
  <si>
    <t>Bimal Nagar (439.7)</t>
  </si>
  <si>
    <t>Log Normal</t>
  </si>
  <si>
    <t>Log Pearson</t>
  </si>
  <si>
    <t>Old</t>
  </si>
  <si>
    <t>Present</t>
  </si>
  <si>
    <t>Rupesh K. Mishra</t>
  </si>
  <si>
    <t>S.P Bhusal</t>
  </si>
  <si>
    <t>Extreme flow Summary, DHM</t>
  </si>
  <si>
    <r>
      <t>Q</t>
    </r>
    <r>
      <rPr>
        <b/>
        <vertAlign val="subscript"/>
        <sz val="10"/>
        <rFont val="Gill Sans MT"/>
        <family val="2"/>
      </rPr>
      <t>max instantaneous</t>
    </r>
  </si>
  <si>
    <t>...</t>
  </si>
  <si>
    <t>1.) Marsyangdi at Bhakunde Besi (439.35)</t>
  </si>
  <si>
    <t>S.no.</t>
  </si>
  <si>
    <t>Station Index</t>
  </si>
  <si>
    <t>Area above 5000 masl</t>
  </si>
  <si>
    <t>Total Area, km2</t>
  </si>
  <si>
    <t>Area below 3000 masl</t>
  </si>
  <si>
    <t>3000 masl &lt; Area &lt; 5000 masl</t>
  </si>
  <si>
    <t>Area below 5000 masl</t>
  </si>
  <si>
    <t>Q2.33</t>
  </si>
  <si>
    <r>
      <t>Catchment area, km</t>
    </r>
    <r>
      <rPr>
        <vertAlign val="superscript"/>
        <sz val="11"/>
        <rFont val="Gill Sans MT"/>
        <family val="2"/>
      </rPr>
      <t>2</t>
    </r>
  </si>
  <si>
    <t>Y</t>
  </si>
  <si>
    <t>Log(T)</t>
  </si>
  <si>
    <t>Log (MFR)</t>
  </si>
  <si>
    <r>
      <t>Km</t>
    </r>
    <r>
      <rPr>
        <vertAlign val="superscript"/>
        <sz val="11"/>
        <rFont val="Gill Sans MT"/>
        <family val="2"/>
      </rPr>
      <t>2</t>
    </r>
  </si>
  <si>
    <r>
      <t>Values of  Q</t>
    </r>
    <r>
      <rPr>
        <b/>
        <vertAlign val="subscript"/>
        <sz val="11"/>
        <rFont val="Gill Sans MT"/>
        <family val="2"/>
      </rPr>
      <t>T</t>
    </r>
    <r>
      <rPr>
        <b/>
        <sz val="11"/>
        <rFont val="Gill Sans MT"/>
        <family val="2"/>
      </rPr>
      <t>/Q</t>
    </r>
    <r>
      <rPr>
        <b/>
        <vertAlign val="subscript"/>
        <sz val="11"/>
        <rFont val="Gill Sans MT"/>
        <family val="2"/>
      </rPr>
      <t>2.33</t>
    </r>
  </si>
  <si>
    <t>Flood  Ananlysis by Regional Flood Frequency Analysis Method (RFFA)</t>
  </si>
  <si>
    <t>A.Flood magnitudes of T return period of the stations considered in RFFA</t>
  </si>
  <si>
    <t xml:space="preserve">B. Catchment details of the stations considered in flood frequency analysis </t>
  </si>
  <si>
    <t xml:space="preserve"> C. Regional  Flood Frequency analysis</t>
  </si>
  <si>
    <t xml:space="preserve"> T year flood magnitude of the stations considered in RFFA</t>
  </si>
  <si>
    <r>
      <t>Q</t>
    </r>
    <r>
      <rPr>
        <vertAlign val="subscript"/>
        <sz val="11"/>
        <rFont val="Gill Sans MT"/>
        <family val="2"/>
      </rPr>
      <t>2.33</t>
    </r>
    <r>
      <rPr>
        <sz val="11"/>
        <rFont val="Gill Sans MT"/>
        <family val="2"/>
      </rPr>
      <t xml:space="preserve"> =</t>
    </r>
  </si>
  <si>
    <t>Where, A= Area of catchment below 5000 masl</t>
  </si>
  <si>
    <r>
      <t>Q</t>
    </r>
    <r>
      <rPr>
        <b/>
        <vertAlign val="subscript"/>
        <sz val="14"/>
        <rFont val="Gill Sans MT"/>
        <family val="2"/>
      </rPr>
      <t>2</t>
    </r>
  </si>
  <si>
    <r>
      <t>Q</t>
    </r>
    <r>
      <rPr>
        <b/>
        <vertAlign val="subscript"/>
        <sz val="14"/>
        <rFont val="Gill Sans MT"/>
        <family val="2"/>
      </rPr>
      <t>5</t>
    </r>
  </si>
  <si>
    <r>
      <t>Q</t>
    </r>
    <r>
      <rPr>
        <b/>
        <vertAlign val="subscript"/>
        <sz val="14"/>
        <rFont val="Gill Sans MT"/>
        <family val="2"/>
      </rPr>
      <t>10</t>
    </r>
  </si>
  <si>
    <r>
      <t>Q</t>
    </r>
    <r>
      <rPr>
        <b/>
        <vertAlign val="subscript"/>
        <sz val="14"/>
        <rFont val="Gill Sans MT"/>
        <family val="2"/>
      </rPr>
      <t>20</t>
    </r>
  </si>
  <si>
    <r>
      <t>Q</t>
    </r>
    <r>
      <rPr>
        <b/>
        <vertAlign val="subscript"/>
        <sz val="14"/>
        <rFont val="Gill Sans MT"/>
        <family val="2"/>
      </rPr>
      <t>50</t>
    </r>
  </si>
  <si>
    <r>
      <t>Q</t>
    </r>
    <r>
      <rPr>
        <b/>
        <vertAlign val="subscript"/>
        <sz val="14"/>
        <rFont val="Gill Sans MT"/>
        <family val="2"/>
      </rPr>
      <t>100</t>
    </r>
  </si>
  <si>
    <r>
      <t>Q</t>
    </r>
    <r>
      <rPr>
        <b/>
        <vertAlign val="subscript"/>
        <sz val="14"/>
        <rFont val="Gill Sans MT"/>
        <family val="2"/>
      </rPr>
      <t>200</t>
    </r>
  </si>
  <si>
    <r>
      <t>Q</t>
    </r>
    <r>
      <rPr>
        <b/>
        <vertAlign val="subscript"/>
        <sz val="14"/>
        <rFont val="Gill Sans MT"/>
        <family val="2"/>
      </rPr>
      <t>500</t>
    </r>
  </si>
  <si>
    <r>
      <t>Q</t>
    </r>
    <r>
      <rPr>
        <b/>
        <vertAlign val="subscript"/>
        <sz val="14"/>
        <rFont val="Gill Sans MT"/>
        <family val="2"/>
      </rPr>
      <t>1000</t>
    </r>
  </si>
  <si>
    <r>
      <t>Q</t>
    </r>
    <r>
      <rPr>
        <b/>
        <vertAlign val="subscript"/>
        <sz val="14"/>
        <rFont val="Gill Sans MT"/>
        <family val="2"/>
      </rPr>
      <t>2.33</t>
    </r>
  </si>
  <si>
    <t>Logarithmic plot</t>
  </si>
  <si>
    <t>7) Kali Gandaki Kotagaon (420)</t>
  </si>
  <si>
    <t>6) Kali Gandaki at Kumal Gaon(Ansing 419.1)</t>
  </si>
  <si>
    <t>5) Kali Gandaki at Seti Beni (410)</t>
  </si>
  <si>
    <t>Below 5000 masl</t>
  </si>
  <si>
    <t>Catchment area Km2</t>
  </si>
  <si>
    <r>
      <t>Catchment area Km</t>
    </r>
    <r>
      <rPr>
        <b/>
        <vertAlign val="superscript"/>
        <sz val="11"/>
        <rFont val="Gill Sans MT"/>
        <family val="2"/>
      </rPr>
      <t>2</t>
    </r>
  </si>
  <si>
    <t>Median Flood Ratio (MFR)</t>
  </si>
  <si>
    <t>Equation given by the plot of  Mean Annual Flood versus Catchment Area</t>
  </si>
  <si>
    <t>Kaligandaki Tinau Multi-purpose Diversion Project (KTDMP)</t>
  </si>
  <si>
    <t>Calculated by: R.K. Mishra</t>
  </si>
  <si>
    <t>Checked by: S.P. Bhusal</t>
  </si>
  <si>
    <t>S.No.</t>
  </si>
  <si>
    <t>Flood discharge from RFFA, m3/s</t>
  </si>
  <si>
    <t>Result Regional Regression Flood Frequency Analysis</t>
  </si>
  <si>
    <t>Return Period, T</t>
  </si>
  <si>
    <t>a</t>
  </si>
  <si>
    <t>b</t>
  </si>
  <si>
    <t>c</t>
  </si>
  <si>
    <r>
      <rPr>
        <sz val="11"/>
        <color rgb="FFFF0000"/>
        <rFont val="Gill Sans MT"/>
        <family val="2"/>
      </rPr>
      <t>a</t>
    </r>
    <r>
      <rPr>
        <sz val="11"/>
        <color theme="1"/>
        <rFont val="Gill Sans MT"/>
        <family val="2"/>
      </rPr>
      <t>x</t>
    </r>
    <r>
      <rPr>
        <vertAlign val="superscript"/>
        <sz val="11"/>
        <color theme="1"/>
        <rFont val="Gill Sans MT"/>
        <family val="2"/>
      </rPr>
      <t>2</t>
    </r>
    <r>
      <rPr>
        <sz val="11"/>
        <color theme="1"/>
        <rFont val="Gill Sans MT"/>
        <family val="2"/>
      </rPr>
      <t>+</t>
    </r>
    <r>
      <rPr>
        <sz val="11"/>
        <color rgb="FFFF0000"/>
        <rFont val="Gill Sans MT"/>
        <family val="2"/>
      </rPr>
      <t>b</t>
    </r>
    <r>
      <rPr>
        <sz val="11"/>
        <color theme="1"/>
        <rFont val="Gill Sans MT"/>
        <family val="2"/>
      </rPr>
      <t>x+</t>
    </r>
    <r>
      <rPr>
        <sz val="11"/>
        <color rgb="FFFF0000"/>
        <rFont val="Gill Sans MT"/>
        <family val="2"/>
      </rPr>
      <t>c</t>
    </r>
  </si>
  <si>
    <r>
      <t>R</t>
    </r>
    <r>
      <rPr>
        <vertAlign val="superscript"/>
        <sz val="11"/>
        <rFont val="Gill Sans MT"/>
        <family val="2"/>
      </rPr>
      <t>2</t>
    </r>
  </si>
  <si>
    <t>Coefficients</t>
  </si>
  <si>
    <t>Stats</t>
  </si>
  <si>
    <r>
      <t>Flood,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</si>
  <si>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t xml:space="preserve"> T year flood magnitude of the stations considered in RRFA</t>
  </si>
  <si>
    <t>Flood  Ananlysis by Regional Regression Flood Analysis Method (RRFA)</t>
  </si>
  <si>
    <t>A.Flood magnitudes of T return period of the stations considered in RRFA</t>
  </si>
  <si>
    <t xml:space="preserve"> C. Regional  Regression Flood Frequency Analysis</t>
  </si>
  <si>
    <t>Regional Flood Frequency Analysis  (m3/s)</t>
  </si>
  <si>
    <t>Calculated By:  R.K. Mishra</t>
  </si>
  <si>
    <t xml:space="preserve">Date: </t>
  </si>
  <si>
    <t>Flood Estimation</t>
  </si>
  <si>
    <t xml:space="preserve">Subject: </t>
  </si>
  <si>
    <t>Kaligandaki Tinau Diversion Multipurpose Project</t>
  </si>
  <si>
    <t xml:space="preserve">Project: </t>
  </si>
  <si>
    <t>Kaligandaki Tinau Diversion Multipurpose Project (KTDMP)</t>
  </si>
  <si>
    <t>Probable Maximum Flood (PMF)</t>
  </si>
  <si>
    <t>Project and Location</t>
  </si>
  <si>
    <r>
      <t>Catchment Area (C.A.),km</t>
    </r>
    <r>
      <rPr>
        <vertAlign val="superscript"/>
        <sz val="11"/>
        <rFont val="Gill Sans MT"/>
        <family val="2"/>
      </rPr>
      <t>2</t>
    </r>
  </si>
  <si>
    <r>
      <t>PMF, m</t>
    </r>
    <r>
      <rPr>
        <vertAlign val="superscript"/>
        <sz val="11"/>
        <rFont val="Gill Sans MT"/>
        <family val="2"/>
      </rPr>
      <t>3</t>
    </r>
    <r>
      <rPr>
        <sz val="11"/>
        <rFont val="Gill Sans MT"/>
        <family val="2"/>
      </rPr>
      <t>/s</t>
    </r>
  </si>
  <si>
    <t>PMF/C.A.</t>
  </si>
  <si>
    <t>References</t>
  </si>
  <si>
    <t>Dhaulkiganga Dam,Sarda, UP, India</t>
  </si>
  <si>
    <t>Workshop on Flood estiamtion  Himalayan Region, 1982 &amp; 1986</t>
  </si>
  <si>
    <t>Lakhwar Dam, Yamuna, UP, India</t>
  </si>
  <si>
    <t>Workshop on Flood estiamtion  Himalayan Region, 1982 &amp; 1987</t>
  </si>
  <si>
    <t>Jamrani Dam, Yamuna, UP, India</t>
  </si>
  <si>
    <t>Workshop on Flood estiamtion  Himalayan Region, 1982 &amp; 1988</t>
  </si>
  <si>
    <t>Pong Dam, Beas, H.P., India</t>
  </si>
  <si>
    <t>Workshop on Flood estiamtion  Himalayan Region, 1982 &amp; 1989</t>
  </si>
  <si>
    <t>Teesta Dam, Teesta, WB, India</t>
  </si>
  <si>
    <t>Workshop on Flood estiamtion  Himalayan Region, 1982 &amp; 1990</t>
  </si>
  <si>
    <t>Koshi High Dam, Kosi, East Nepal</t>
  </si>
  <si>
    <t xml:space="preserve">Koshi High Dam Project, Indian Water Commission </t>
  </si>
  <si>
    <t>Upper Arun Dam, Arun, East Nepal</t>
  </si>
  <si>
    <t>Upper Arun Hydro Project Feasibility Study, 1991</t>
  </si>
  <si>
    <t>Upper Arun PH, Arun, East Nepal</t>
  </si>
  <si>
    <t>Arun-3 Dam, Arun, East Nepal</t>
  </si>
  <si>
    <t>Arun 3 Hydroelectric Project, Detailed Design Study, 1990</t>
  </si>
  <si>
    <t>Arun-3 PH, Arun, East Nepal</t>
  </si>
  <si>
    <t>Kulekhani I Dam, Bagmati, Central Nepal</t>
  </si>
  <si>
    <t>Kulekhani Hydroelectric Project</t>
  </si>
  <si>
    <t xml:space="preserve">Marsyangdi Dam, Central Nepal </t>
  </si>
  <si>
    <t>Marsyangdi Hydroelectric Project</t>
  </si>
  <si>
    <t>Sapta Gandaki, Central Nepal</t>
  </si>
  <si>
    <t>Sapta Gandaki Hydroelectric Project, Feasibility Study, 1985</t>
  </si>
  <si>
    <t>Karnali Dam, Karnali, Western Nepal</t>
  </si>
  <si>
    <t>Karnali Multipurpose Project, Feasibility Study</t>
  </si>
  <si>
    <t>West Seti Dam, Seti, Western Nepal</t>
  </si>
  <si>
    <t>West Seti Hydroelectric Project, Detailed Feasibility, 1990</t>
  </si>
  <si>
    <t>Matatila, Western U.P.</t>
  </si>
  <si>
    <t>Workshop on Dam Safety Assurance and Rehabiliotation, 1992,  CWC</t>
  </si>
  <si>
    <t>Dukhwan, Western U.P.</t>
  </si>
  <si>
    <t>Hindon, Western U.P</t>
  </si>
  <si>
    <t>Krishni, Western U.P.</t>
  </si>
  <si>
    <t>Y= 131.25*(X)-0.447</t>
  </si>
  <si>
    <t>Kali Gandaki-'A' HEP</t>
  </si>
  <si>
    <t>C.A. intake below 3600 masl</t>
  </si>
  <si>
    <t>C.A. PH below 3600 masl</t>
  </si>
  <si>
    <t>PMF/ C.A. for intake</t>
  </si>
  <si>
    <t>PMF/ C.A. for PH</t>
  </si>
  <si>
    <t>PMF</t>
  </si>
  <si>
    <t>Calculated</t>
  </si>
  <si>
    <t>PMF dam site</t>
  </si>
  <si>
    <r>
      <t>m</t>
    </r>
    <r>
      <rPr>
        <vertAlign val="superscript"/>
        <sz val="11"/>
        <rFont val="Gill Sans MT"/>
        <family val="2"/>
      </rPr>
      <t>3</t>
    </r>
    <r>
      <rPr>
        <sz val="11"/>
        <rFont val="Gill Sans MT"/>
        <family val="2"/>
      </rPr>
      <t>/s</t>
    </r>
  </si>
  <si>
    <t>PMF PH site</t>
  </si>
  <si>
    <t>Adopted in KG-'A' HEP</t>
  </si>
  <si>
    <t>Kaligandaki Tinau Multi-Purpose Diversion Project (KGTDMP)</t>
  </si>
  <si>
    <t>Catchment Area at intake below 3600 masl</t>
  </si>
  <si>
    <t>Project: Kaligandaki Tinau Diversion Multipurpose Project</t>
  </si>
  <si>
    <t>Subject: Flood Estimation</t>
  </si>
  <si>
    <t>Log normal (m3/s)</t>
  </si>
  <si>
    <t>Log Pearson III (m3/s)</t>
  </si>
  <si>
    <t>Gumbel (m3/s)</t>
  </si>
  <si>
    <t>Transpose factor</t>
  </si>
  <si>
    <t>1) Flood flow analysis (CAR Method)</t>
  </si>
  <si>
    <r>
      <t>Total Area, km</t>
    </r>
    <r>
      <rPr>
        <b/>
        <vertAlign val="superscript"/>
        <sz val="11"/>
        <rFont val="Gill Sans MT"/>
        <family val="2"/>
      </rPr>
      <t>2</t>
    </r>
  </si>
  <si>
    <t>Station Name</t>
  </si>
  <si>
    <t>Project: Kaligandaki Tinau Diversion Multipurpose Project (KTDMP)</t>
  </si>
  <si>
    <r>
      <rPr>
        <sz val="11"/>
        <color rgb="FFFF0000"/>
        <rFont val="Gill Sans MT"/>
        <family val="2"/>
      </rPr>
      <t>a</t>
    </r>
    <r>
      <rPr>
        <sz val="11"/>
        <rFont val="Gill Sans MT"/>
        <family val="2"/>
      </rPr>
      <t xml:space="preserve"> * A</t>
    </r>
    <r>
      <rPr>
        <vertAlign val="superscript"/>
        <sz val="11"/>
        <rFont val="Gill Sans MT"/>
        <family val="2"/>
      </rPr>
      <t>2</t>
    </r>
    <r>
      <rPr>
        <sz val="11"/>
        <rFont val="Gill Sans MT"/>
        <family val="2"/>
      </rPr>
      <t xml:space="preserve">+ </t>
    </r>
    <r>
      <rPr>
        <sz val="11"/>
        <color rgb="FFFF0000"/>
        <rFont val="Gill Sans MT"/>
        <family val="2"/>
      </rPr>
      <t>b</t>
    </r>
    <r>
      <rPr>
        <sz val="11"/>
        <rFont val="Gill Sans MT"/>
        <family val="2"/>
      </rPr>
      <t xml:space="preserve">* A + </t>
    </r>
    <r>
      <rPr>
        <sz val="11"/>
        <color rgb="FFFF0000"/>
        <rFont val="Gill Sans MT"/>
        <family val="2"/>
      </rPr>
      <t>c</t>
    </r>
  </si>
  <si>
    <r>
      <t>Regional Regression analysis method (m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/s)</t>
    </r>
  </si>
  <si>
    <t>Probability of Exceedance, %</t>
  </si>
  <si>
    <r>
      <t>Q</t>
    </r>
    <r>
      <rPr>
        <b/>
        <vertAlign val="subscript"/>
        <sz val="11"/>
        <rFont val="Gill Sans MT"/>
        <family val="2"/>
      </rPr>
      <t>5</t>
    </r>
    <r>
      <rPr>
        <b/>
        <vertAlign val="subscript"/>
        <sz val="14"/>
        <rFont val="Gill Sans MT"/>
        <family val="2"/>
      </rPr>
      <t>000</t>
    </r>
  </si>
  <si>
    <r>
      <t>Q</t>
    </r>
    <r>
      <rPr>
        <b/>
        <vertAlign val="subscript"/>
        <sz val="14"/>
        <rFont val="Gill Sans MT"/>
        <family val="2"/>
      </rPr>
      <t>10000</t>
    </r>
  </si>
  <si>
    <t>Q5000</t>
  </si>
  <si>
    <t>Q10000</t>
  </si>
  <si>
    <r>
      <t>Q</t>
    </r>
    <r>
      <rPr>
        <b/>
        <vertAlign val="subscript"/>
        <sz val="14"/>
        <rFont val="Gill Sans MT"/>
        <family val="2"/>
      </rPr>
      <t>5000</t>
    </r>
  </si>
  <si>
    <t>`</t>
  </si>
  <si>
    <t>MKHEP at Intake</t>
  </si>
  <si>
    <t>Middle Kaligandaki Hydroelectric Project (MKHEP)</t>
  </si>
  <si>
    <t>Calculated by: S. Shrestha</t>
  </si>
  <si>
    <t>8) Kali Gandaki Tatopani (403.5)</t>
  </si>
  <si>
    <t>Flood flow at KTDMP Intake site from Mangalaghat</t>
  </si>
  <si>
    <t>Catchment area of Myagdi at Mangalaghat</t>
  </si>
  <si>
    <t>Catchment area at headworks below 5000 masl</t>
  </si>
  <si>
    <t>HYDEST</t>
  </si>
  <si>
    <t>Modified Hydest</t>
  </si>
  <si>
    <t>Due Deligence Study of Isuwa Khola Cascade</t>
  </si>
  <si>
    <t>Sabhaya</t>
  </si>
  <si>
    <t>Tumlingtar</t>
  </si>
  <si>
    <t xml:space="preserve">Station No. </t>
  </si>
  <si>
    <t>Station: Sabhaya (602)</t>
  </si>
  <si>
    <t>Station: Hinwa (602.5)</t>
  </si>
  <si>
    <t>Hinwa (602.5)</t>
  </si>
  <si>
    <t>Station:  Arun River at Turkeghat (604.5)</t>
  </si>
  <si>
    <t>Arun River</t>
  </si>
  <si>
    <t>Turkeghat</t>
  </si>
  <si>
    <t>Arun khola at turkeghat (604.5)</t>
  </si>
  <si>
    <t>Hinwa</t>
  </si>
  <si>
    <t>Arun</t>
  </si>
  <si>
    <t>Station: Arun River at Uwa Gaon (600.1)</t>
  </si>
  <si>
    <t>Isuwa at Intake</t>
  </si>
  <si>
    <t>Uwa Gaon</t>
  </si>
  <si>
    <t>Powerhouse river-1</t>
  </si>
  <si>
    <t>1) Sabhaya at Tumlingtar (602)</t>
  </si>
  <si>
    <t>2) Hinwa (602.5)</t>
  </si>
  <si>
    <t>3) Arun River at Turkeghat (604.5)</t>
  </si>
  <si>
    <t>4)Arun River at Uwa gaon (600.1)</t>
  </si>
  <si>
    <t>Flood  freequency analysis result of 4 gauging stations</t>
  </si>
  <si>
    <t>Catchment area below 5000 masl at Ph site of isuwa</t>
  </si>
  <si>
    <t>Isuwa at Powerhouse</t>
  </si>
  <si>
    <t>Catchment area below 5000 masl at Isuwa powerhouse</t>
  </si>
  <si>
    <t xml:space="preserve">Flood  freequency analysis result of 4 gauging stations </t>
  </si>
  <si>
    <t xml:space="preserve">B. Catchment details of the stations considered in flood analysis </t>
  </si>
  <si>
    <t>Uwa gaon (600.1)</t>
  </si>
  <si>
    <t>Estimated flood at powerhouse site</t>
  </si>
  <si>
    <r>
      <t>0.0000552744* A</t>
    </r>
    <r>
      <rPr>
        <vertAlign val="superscript"/>
        <sz val="11"/>
        <rFont val="Gill Sans MT"/>
        <family val="2"/>
      </rPr>
      <t>2</t>
    </r>
    <r>
      <rPr>
        <sz val="11"/>
        <rFont val="Gill Sans MT"/>
        <family val="2"/>
      </rPr>
      <t xml:space="preserve"> - 0.8422* A + 356.979</t>
    </r>
  </si>
  <si>
    <t>Flood flow at Isuwa powerhouse site from Uwagaon</t>
  </si>
  <si>
    <t>Uwagaon</t>
  </si>
  <si>
    <r>
      <t>CAR with uwagaon             (m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 xml:space="preserve">/s)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</si>
</sst>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0.00000000000"/>
    <numFmt numFmtId="168" formatCode="0.000000"/>
    <numFmt numFmtId="169" formatCode="0.0000000"/>
    <numFmt numFmtId="170" formatCode="0.0%"/>
    <numFmt numFmtId="171" formatCode="0.00000"/>
    <numFmt numFmtId="172" formatCode="0.00000000"/>
    <numFmt numFmtId="174" formatCode="0.0000000000"/>
  </numFmts>
  <fonts count="60" x14ac:knownFonts="1">
    <font>
      <sz val="10"/>
      <name val="Arial"/>
    </font>
    <font>
      <sz val="11"/>
      <color theme="1"/>
      <name val="Gill Sans MT"/>
      <family val="2"/>
    </font>
    <font>
      <sz val="11"/>
      <color theme="1"/>
      <name val="Gill Sans MT"/>
      <family val="2"/>
    </font>
    <font>
      <sz val="11"/>
      <color theme="1"/>
      <name val="Gill Sans MT"/>
      <family val="2"/>
    </font>
    <font>
      <sz val="11"/>
      <color theme="1"/>
      <name val="Gill Sans MT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Gill Sans MT"/>
      <family val="2"/>
    </font>
    <font>
      <b/>
      <sz val="10"/>
      <name val="Gill Sans MT"/>
      <family val="2"/>
    </font>
    <font>
      <sz val="10"/>
      <name val="Gill Sans MT"/>
      <family val="2"/>
    </font>
    <font>
      <sz val="8"/>
      <name val="Gill Sans MT"/>
      <family val="2"/>
    </font>
    <font>
      <vertAlign val="subscript"/>
      <sz val="10"/>
      <name val="Gill Sans MT"/>
      <family val="2"/>
    </font>
    <font>
      <b/>
      <i/>
      <sz val="10"/>
      <name val="Gill Sans MT"/>
      <family val="2"/>
    </font>
    <font>
      <vertAlign val="subscript"/>
      <sz val="8"/>
      <name val="Gill Sans MT"/>
      <family val="2"/>
    </font>
    <font>
      <b/>
      <sz val="11"/>
      <name val="Gill Sans MT"/>
      <family val="2"/>
    </font>
    <font>
      <b/>
      <vertAlign val="subscript"/>
      <sz val="10"/>
      <name val="Gill Sans M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Gill Sans MT"/>
      <family val="2"/>
    </font>
    <font>
      <sz val="10"/>
      <color theme="1"/>
      <name val="Gill Sans MT"/>
      <family val="2"/>
    </font>
    <font>
      <b/>
      <sz val="11"/>
      <color theme="1"/>
      <name val="Gill Sans MT"/>
      <family val="2"/>
    </font>
    <font>
      <sz val="11"/>
      <name val="Gill Sans MT"/>
      <family val="2"/>
    </font>
    <font>
      <vertAlign val="superscript"/>
      <sz val="11"/>
      <name val="Gill Sans MT"/>
      <family val="2"/>
    </font>
    <font>
      <b/>
      <sz val="11"/>
      <color rgb="FFFF0000"/>
      <name val="Gill Sans MT"/>
      <family val="2"/>
    </font>
    <font>
      <b/>
      <sz val="11"/>
      <color rgb="FF7030A0"/>
      <name val="Gill Sans MT"/>
      <family val="2"/>
    </font>
    <font>
      <b/>
      <u/>
      <sz val="11"/>
      <name val="Gill Sans MT"/>
      <family val="2"/>
    </font>
    <font>
      <vertAlign val="subscript"/>
      <sz val="11"/>
      <name val="Gill Sans MT"/>
      <family val="2"/>
    </font>
    <font>
      <b/>
      <vertAlign val="subscript"/>
      <sz val="11"/>
      <name val="Gill Sans MT"/>
      <family val="2"/>
    </font>
    <font>
      <b/>
      <vertAlign val="subscript"/>
      <sz val="14"/>
      <name val="Gill Sans MT"/>
      <family val="2"/>
    </font>
    <font>
      <b/>
      <sz val="11"/>
      <color rgb="FF00B050"/>
      <name val="Gill Sans MT"/>
      <family val="2"/>
    </font>
    <font>
      <b/>
      <vertAlign val="superscript"/>
      <sz val="11"/>
      <name val="Gill Sans MT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666600"/>
      <name val="Courier New"/>
      <family val="3"/>
    </font>
    <font>
      <sz val="14"/>
      <color rgb="FF666600"/>
      <name val="Courier New"/>
      <family val="3"/>
    </font>
    <font>
      <sz val="11"/>
      <color rgb="FFFF0000"/>
      <name val="Gill Sans MT"/>
      <family val="2"/>
    </font>
    <font>
      <vertAlign val="superscript"/>
      <sz val="11"/>
      <color theme="1"/>
      <name val="Gill Sans MT"/>
      <family val="2"/>
    </font>
    <font>
      <sz val="10"/>
      <name val="Arial"/>
      <family val="2"/>
    </font>
    <font>
      <u/>
      <sz val="11"/>
      <name val="Gill Sans MT"/>
      <family val="2"/>
    </font>
    <font>
      <sz val="11"/>
      <color theme="0" tint="-0.34998626667073579"/>
      <name val="Gill Sans MT"/>
      <family val="2"/>
    </font>
    <font>
      <sz val="11"/>
      <color theme="0" tint="-0.499984740745262"/>
      <name val="Gill Sans MT"/>
      <family val="2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0" fillId="26" borderId="0" applyNumberFormat="0" applyBorder="0" applyAlignment="0" applyProtection="0"/>
    <xf numFmtId="0" fontId="21" fillId="27" borderId="12" applyNumberFormat="0" applyAlignment="0" applyProtection="0"/>
    <xf numFmtId="0" fontId="22" fillId="28" borderId="13" applyNumberFormat="0" applyAlignment="0" applyProtection="0"/>
    <xf numFmtId="0" fontId="23" fillId="0" borderId="0" applyNumberFormat="0" applyFill="0" applyBorder="0" applyAlignment="0" applyProtection="0"/>
    <xf numFmtId="0" fontId="24" fillId="29" borderId="0" applyNumberFormat="0" applyBorder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7" fillId="0" borderId="0" applyNumberFormat="0" applyFill="0" applyBorder="0" applyAlignment="0" applyProtection="0"/>
    <xf numFmtId="0" fontId="28" fillId="30" borderId="12" applyNumberFormat="0" applyAlignment="0" applyProtection="0"/>
    <xf numFmtId="0" fontId="29" fillId="0" borderId="17" applyNumberFormat="0" applyFill="0" applyAlignment="0" applyProtection="0"/>
    <xf numFmtId="0" fontId="30" fillId="31" borderId="0" applyNumberFormat="0" applyBorder="0" applyAlignment="0" applyProtection="0"/>
    <xf numFmtId="0" fontId="7" fillId="0" borderId="0"/>
    <xf numFmtId="0" fontId="18" fillId="0" borderId="0"/>
    <xf numFmtId="0" fontId="18" fillId="32" borderId="18" applyNumberFormat="0" applyFont="0" applyAlignment="0" applyProtection="0"/>
    <xf numFmtId="0" fontId="31" fillId="27" borderId="19" applyNumberFormat="0" applyAlignment="0" applyProtection="0"/>
    <xf numFmtId="9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0" applyNumberFormat="0" applyFill="0" applyBorder="0" applyAlignment="0" applyProtection="0"/>
    <xf numFmtId="43" fontId="5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392">
    <xf numFmtId="0" fontId="0" fillId="0" borderId="0" xfId="0"/>
    <xf numFmtId="0" fontId="6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0" fontId="7" fillId="0" borderId="1" xfId="0" applyFont="1" applyFill="1" applyBorder="1"/>
    <xf numFmtId="1" fontId="7" fillId="0" borderId="1" xfId="0" applyNumberFormat="1" applyFont="1" applyFill="1" applyBorder="1" applyAlignment="1">
      <alignment horizontal="center"/>
    </xf>
    <xf numFmtId="0" fontId="8" fillId="0" borderId="0" xfId="37" applyFont="1"/>
    <xf numFmtId="0" fontId="6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center"/>
    </xf>
    <xf numFmtId="0" fontId="5" fillId="0" borderId="0" xfId="0" applyFont="1"/>
    <xf numFmtId="0" fontId="5" fillId="0" borderId="0" xfId="0" applyFont="1" applyFill="1"/>
    <xf numFmtId="169" fontId="0" fillId="0" borderId="0" xfId="0" applyNumberFormat="1" applyFill="1"/>
    <xf numFmtId="0" fontId="5" fillId="0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5" fillId="0" borderId="0" xfId="0" applyFont="1"/>
    <xf numFmtId="0" fontId="35" fillId="33" borderId="0" xfId="0" applyFont="1" applyFill="1"/>
    <xf numFmtId="15" fontId="10" fillId="0" borderId="0" xfId="37" applyNumberFormat="1" applyFont="1"/>
    <xf numFmtId="0" fontId="36" fillId="0" borderId="0" xfId="0" applyFont="1"/>
    <xf numFmtId="0" fontId="36" fillId="0" borderId="0" xfId="0" applyFont="1" applyAlignment="1">
      <alignment horizontal="left"/>
    </xf>
    <xf numFmtId="0" fontId="11" fillId="0" borderId="0" xfId="37" applyFont="1"/>
    <xf numFmtId="0" fontId="12" fillId="0" borderId="0" xfId="37" applyFont="1"/>
    <xf numFmtId="0" fontId="9" fillId="0" borderId="0" xfId="37" applyFont="1"/>
    <xf numFmtId="15" fontId="11" fillId="0" borderId="0" xfId="37" applyNumberFormat="1" applyFont="1"/>
    <xf numFmtId="15" fontId="11" fillId="33" borderId="0" xfId="37" applyNumberFormat="1" applyFont="1" applyFill="1"/>
    <xf numFmtId="0" fontId="10" fillId="0" borderId="1" xfId="37" applyFont="1" applyBorder="1"/>
    <xf numFmtId="0" fontId="10" fillId="0" borderId="1" xfId="37" applyFont="1" applyBorder="1" applyAlignment="1">
      <alignment horizontal="center"/>
    </xf>
    <xf numFmtId="167" fontId="11" fillId="0" borderId="0" xfId="37" applyNumberFormat="1" applyFont="1"/>
    <xf numFmtId="0" fontId="11" fillId="0" borderId="1" xfId="37" applyFont="1" applyBorder="1"/>
    <xf numFmtId="166" fontId="11" fillId="0" borderId="1" xfId="37" applyNumberFormat="1" applyFont="1" applyBorder="1"/>
    <xf numFmtId="166" fontId="11" fillId="0" borderId="0" xfId="37" applyNumberFormat="1" applyFont="1"/>
    <xf numFmtId="2" fontId="11" fillId="0" borderId="0" xfId="37" applyNumberFormat="1" applyFont="1"/>
    <xf numFmtId="0" fontId="10" fillId="0" borderId="3" xfId="37" applyFont="1" applyFill="1" applyBorder="1" applyAlignment="1">
      <alignment horizontal="center"/>
    </xf>
    <xf numFmtId="0" fontId="11" fillId="0" borderId="1" xfId="37" applyFont="1" applyFill="1" applyBorder="1" applyAlignment="1">
      <alignment horizontal="center"/>
    </xf>
    <xf numFmtId="166" fontId="11" fillId="0" borderId="1" xfId="37" applyNumberFormat="1" applyFont="1" applyFill="1" applyBorder="1" applyAlignment="1">
      <alignment horizontal="center"/>
    </xf>
    <xf numFmtId="2" fontId="10" fillId="0" borderId="1" xfId="37" applyNumberFormat="1" applyFont="1" applyFill="1" applyBorder="1" applyAlignment="1">
      <alignment horizontal="center"/>
    </xf>
    <xf numFmtId="2" fontId="11" fillId="0" borderId="1" xfId="37" applyNumberFormat="1" applyFont="1" applyFill="1" applyBorder="1" applyAlignment="1">
      <alignment horizontal="center"/>
    </xf>
    <xf numFmtId="0" fontId="11" fillId="34" borderId="1" xfId="37" applyFont="1" applyFill="1" applyBorder="1" applyAlignment="1">
      <alignment horizontal="center"/>
    </xf>
    <xf numFmtId="166" fontId="11" fillId="34" borderId="1" xfId="37" applyNumberFormat="1" applyFont="1" applyFill="1" applyBorder="1" applyAlignment="1">
      <alignment horizontal="center"/>
    </xf>
    <xf numFmtId="2" fontId="10" fillId="34" borderId="1" xfId="37" applyNumberFormat="1" applyFont="1" applyFill="1" applyBorder="1" applyAlignment="1">
      <alignment horizontal="center"/>
    </xf>
    <xf numFmtId="2" fontId="11" fillId="34" borderId="1" xfId="37" applyNumberFormat="1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Fill="1"/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" xfId="0" applyFont="1" applyBorder="1"/>
    <xf numFmtId="0" fontId="11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5" fillId="0" borderId="0" xfId="0" applyFont="1" applyFill="1" applyBorder="1"/>
    <xf numFmtId="0" fontId="10" fillId="0" borderId="0" xfId="37" applyFont="1" applyAlignment="1"/>
    <xf numFmtId="0" fontId="10" fillId="0" borderId="1" xfId="37" applyFont="1" applyFill="1" applyBorder="1" applyAlignment="1">
      <alignment horizontal="center" vertic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5" fontId="0" fillId="0" borderId="0" xfId="0" applyNumberFormat="1" applyFill="1"/>
    <xf numFmtId="15" fontId="11" fillId="0" borderId="0" xfId="0" applyNumberFormat="1" applyFont="1" applyAlignment="1">
      <alignment horizontal="left"/>
    </xf>
    <xf numFmtId="0" fontId="36" fillId="33" borderId="0" xfId="0" applyFont="1" applyFill="1" applyAlignment="1">
      <alignment horizontal="left"/>
    </xf>
    <xf numFmtId="164" fontId="12" fillId="0" borderId="0" xfId="37" applyNumberFormat="1" applyFont="1" applyBorder="1"/>
    <xf numFmtId="0" fontId="12" fillId="0" borderId="0" xfId="37" applyFont="1" applyBorder="1"/>
    <xf numFmtId="166" fontId="12" fillId="0" borderId="0" xfId="37" applyNumberFormat="1" applyFont="1" applyBorder="1"/>
    <xf numFmtId="167" fontId="12" fillId="0" borderId="0" xfId="37" applyNumberFormat="1" applyFont="1"/>
    <xf numFmtId="0" fontId="12" fillId="0" borderId="0" xfId="37" applyFont="1" applyFill="1"/>
    <xf numFmtId="0" fontId="9" fillId="0" borderId="0" xfId="37" applyFont="1" applyBorder="1" applyAlignment="1">
      <alignment horizontal="center"/>
    </xf>
    <xf numFmtId="166" fontId="12" fillId="0" borderId="0" xfId="37" applyNumberFormat="1" applyFont="1"/>
    <xf numFmtId="16" fontId="12" fillId="0" borderId="0" xfId="37" applyNumberFormat="1" applyFont="1"/>
    <xf numFmtId="0" fontId="10" fillId="0" borderId="0" xfId="0" applyFont="1"/>
    <xf numFmtId="0" fontId="11" fillId="0" borderId="0" xfId="0" applyFont="1" applyAlignment="1">
      <alignment horizontal="left"/>
    </xf>
    <xf numFmtId="1" fontId="11" fillId="0" borderId="0" xfId="0" applyNumberFormat="1" applyFont="1"/>
    <xf numFmtId="0" fontId="11" fillId="0" borderId="1" xfId="0" applyFont="1" applyFill="1" applyBorder="1" applyAlignment="1">
      <alignment horizontal="center" vertical="center"/>
    </xf>
    <xf numFmtId="1" fontId="11" fillId="0" borderId="1" xfId="37" applyNumberFormat="1" applyFont="1" applyBorder="1" applyAlignment="1">
      <alignment horizontal="center"/>
    </xf>
    <xf numFmtId="164" fontId="11" fillId="33" borderId="1" xfId="37" applyNumberFormat="1" applyFont="1" applyFill="1" applyBorder="1" applyAlignment="1">
      <alignment horizontal="center"/>
    </xf>
    <xf numFmtId="164" fontId="11" fillId="0" borderId="6" xfId="37" applyNumberFormat="1" applyFont="1" applyBorder="1" applyAlignment="1">
      <alignment horizontal="center"/>
    </xf>
    <xf numFmtId="0" fontId="10" fillId="0" borderId="0" xfId="37" applyFont="1" applyFill="1" applyBorder="1" applyAlignment="1">
      <alignment horizontal="center"/>
    </xf>
    <xf numFmtId="0" fontId="11" fillId="0" borderId="0" xfId="37" applyFont="1" applyFill="1" applyBorder="1" applyAlignment="1">
      <alignment horizontal="center"/>
    </xf>
    <xf numFmtId="2" fontId="14" fillId="0" borderId="0" xfId="37" applyNumberFormat="1" applyFont="1" applyFill="1" applyBorder="1" applyAlignment="1">
      <alignment horizontal="center"/>
    </xf>
    <xf numFmtId="1" fontId="11" fillId="0" borderId="1" xfId="0" applyNumberFormat="1" applyFont="1" applyBorder="1"/>
    <xf numFmtId="0" fontId="16" fillId="0" borderId="0" xfId="0" applyFont="1"/>
    <xf numFmtId="0" fontId="11" fillId="0" borderId="1" xfId="0" applyFont="1" applyBorder="1" applyAlignment="1">
      <alignment horizontal="center" vertical="center"/>
    </xf>
    <xf numFmtId="0" fontId="11" fillId="35" borderId="1" xfId="0" applyFont="1" applyFill="1" applyBorder="1"/>
    <xf numFmtId="1" fontId="11" fillId="35" borderId="1" xfId="0" applyNumberFormat="1" applyFont="1" applyFill="1" applyBorder="1"/>
    <xf numFmtId="0" fontId="10" fillId="0" borderId="1" xfId="0" applyFont="1" applyBorder="1" applyAlignment="1">
      <alignment horizontal="center" vertical="top"/>
    </xf>
    <xf numFmtId="0" fontId="10" fillId="0" borderId="0" xfId="37" applyFont="1" applyBorder="1" applyAlignment="1">
      <alignment horizontal="center"/>
    </xf>
    <xf numFmtId="0" fontId="11" fillId="0" borderId="0" xfId="37" applyFont="1" applyAlignment="1">
      <alignment horizontal="right"/>
    </xf>
    <xf numFmtId="164" fontId="11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1" fontId="11" fillId="0" borderId="7" xfId="37" applyNumberFormat="1" applyFont="1" applyBorder="1" applyAlignment="1">
      <alignment horizontal="center"/>
    </xf>
    <xf numFmtId="164" fontId="11" fillId="36" borderId="1" xfId="37" applyNumberFormat="1" applyFont="1" applyFill="1" applyBorder="1" applyAlignment="1">
      <alignment horizontal="center"/>
    </xf>
    <xf numFmtId="0" fontId="11" fillId="0" borderId="1" xfId="37" applyFont="1" applyBorder="1" applyAlignment="1">
      <alignment horizontal="center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14" fontId="35" fillId="0" borderId="0" xfId="0" applyNumberFormat="1" applyFont="1"/>
    <xf numFmtId="0" fontId="11" fillId="0" borderId="0" xfId="0" applyFont="1" applyFill="1" applyBorder="1" applyAlignment="1">
      <alignment horizontal="center"/>
    </xf>
    <xf numFmtId="0" fontId="11" fillId="0" borderId="11" xfId="0" applyFont="1" applyBorder="1" applyAlignment="1">
      <alignment horizontal="center" vertical="top"/>
    </xf>
    <xf numFmtId="0" fontId="38" fillId="0" borderId="0" xfId="0" applyFont="1"/>
    <xf numFmtId="164" fontId="38" fillId="0" borderId="0" xfId="0" applyNumberFormat="1" applyFont="1"/>
    <xf numFmtId="0" fontId="38" fillId="0" borderId="0" xfId="37" applyFont="1"/>
    <xf numFmtId="0" fontId="38" fillId="0" borderId="0" xfId="37" applyFont="1" applyFill="1"/>
    <xf numFmtId="15" fontId="38" fillId="0" borderId="0" xfId="0" applyNumberFormat="1" applyFont="1"/>
    <xf numFmtId="15" fontId="38" fillId="0" borderId="0" xfId="37" applyNumberFormat="1" applyFont="1"/>
    <xf numFmtId="1" fontId="38" fillId="0" borderId="0" xfId="0" applyNumberFormat="1" applyFont="1"/>
    <xf numFmtId="0" fontId="38" fillId="0" borderId="0" xfId="0" applyFont="1" applyFill="1"/>
    <xf numFmtId="0" fontId="16" fillId="0" borderId="0" xfId="0" applyFont="1" applyFill="1"/>
    <xf numFmtId="0" fontId="38" fillId="0" borderId="0" xfId="0" applyFont="1" applyFill="1" applyBorder="1" applyAlignment="1"/>
    <xf numFmtId="0" fontId="38" fillId="0" borderId="0" xfId="0" applyFont="1" applyFill="1" applyBorder="1" applyAlignment="1">
      <alignment horizontal="center"/>
    </xf>
    <xf numFmtId="0" fontId="38" fillId="0" borderId="1" xfId="0" applyFont="1" applyFill="1" applyBorder="1"/>
    <xf numFmtId="1" fontId="38" fillId="0" borderId="1" xfId="0" applyNumberFormat="1" applyFont="1" applyFill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/>
    <xf numFmtId="2" fontId="38" fillId="0" borderId="1" xfId="0" applyNumberFormat="1" applyFont="1" applyFill="1" applyBorder="1" applyAlignment="1">
      <alignment horizontal="center"/>
    </xf>
    <xf numFmtId="0" fontId="38" fillId="33" borderId="1" xfId="0" applyFont="1" applyFill="1" applyBorder="1"/>
    <xf numFmtId="0" fontId="38" fillId="33" borderId="1" xfId="0" applyFont="1" applyFill="1" applyBorder="1" applyAlignment="1">
      <alignment horizontal="center"/>
    </xf>
    <xf numFmtId="2" fontId="38" fillId="33" borderId="1" xfId="0" applyNumberFormat="1" applyFont="1" applyFill="1" applyBorder="1" applyAlignment="1">
      <alignment horizontal="center"/>
    </xf>
    <xf numFmtId="164" fontId="38" fillId="0" borderId="1" xfId="0" applyNumberFormat="1" applyFont="1" applyFill="1" applyBorder="1" applyAlignment="1">
      <alignment horizontal="center"/>
    </xf>
    <xf numFmtId="164" fontId="38" fillId="33" borderId="1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0" fontId="16" fillId="0" borderId="0" xfId="0" applyFont="1" applyFill="1" applyBorder="1"/>
    <xf numFmtId="0" fontId="38" fillId="0" borderId="0" xfId="0" applyFont="1" applyFill="1" applyBorder="1" applyAlignment="1">
      <alignment horizontal="left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left"/>
    </xf>
    <xf numFmtId="0" fontId="38" fillId="0" borderId="1" xfId="0" applyFont="1" applyBorder="1" applyAlignment="1">
      <alignment horizontal="center"/>
    </xf>
    <xf numFmtId="164" fontId="38" fillId="0" borderId="1" xfId="0" applyNumberFormat="1" applyFont="1" applyBorder="1" applyAlignment="1">
      <alignment horizontal="right"/>
    </xf>
    <xf numFmtId="0" fontId="38" fillId="0" borderId="1" xfId="0" applyFont="1" applyBorder="1"/>
    <xf numFmtId="168" fontId="38" fillId="0" borderId="0" xfId="0" applyNumberFormat="1" applyFont="1"/>
    <xf numFmtId="170" fontId="38" fillId="0" borderId="0" xfId="0" applyNumberFormat="1" applyFont="1"/>
    <xf numFmtId="0" fontId="38" fillId="0" borderId="0" xfId="0" applyFont="1" applyAlignment="1">
      <alignment horizontal="left"/>
    </xf>
    <xf numFmtId="0" fontId="38" fillId="0" borderId="3" xfId="0" applyFont="1" applyBorder="1" applyAlignment="1">
      <alignment horizontal="center"/>
    </xf>
    <xf numFmtId="1" fontId="38" fillId="0" borderId="3" xfId="0" applyNumberFormat="1" applyFont="1" applyFill="1" applyBorder="1" applyAlignment="1">
      <alignment horizontal="center"/>
    </xf>
    <xf numFmtId="1" fontId="38" fillId="0" borderId="3" xfId="0" applyNumberFormat="1" applyFont="1" applyFill="1" applyBorder="1"/>
    <xf numFmtId="164" fontId="38" fillId="0" borderId="1" xfId="0" applyNumberFormat="1" applyFont="1" applyBorder="1" applyAlignment="1">
      <alignment horizontal="center" vertical="center"/>
    </xf>
    <xf numFmtId="0" fontId="38" fillId="0" borderId="0" xfId="0" applyFont="1" applyBorder="1"/>
    <xf numFmtId="2" fontId="38" fillId="0" borderId="1" xfId="0" applyNumberFormat="1" applyFont="1" applyBorder="1"/>
    <xf numFmtId="0" fontId="16" fillId="0" borderId="1" xfId="0" applyFont="1" applyBorder="1"/>
    <xf numFmtId="2" fontId="38" fillId="0" borderId="0" xfId="0" applyNumberFormat="1" applyFont="1"/>
    <xf numFmtId="0" fontId="38" fillId="37" borderId="1" xfId="0" applyFont="1" applyFill="1" applyBorder="1" applyAlignment="1">
      <alignment horizontal="left"/>
    </xf>
    <xf numFmtId="0" fontId="38" fillId="36" borderId="1" xfId="0" applyFont="1" applyFill="1" applyBorder="1"/>
    <xf numFmtId="164" fontId="38" fillId="0" borderId="0" xfId="0" applyNumberFormat="1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66" fontId="38" fillId="0" borderId="0" xfId="0" applyNumberFormat="1" applyFont="1" applyBorder="1" applyAlignment="1">
      <alignment horizontal="right"/>
    </xf>
    <xf numFmtId="2" fontId="38" fillId="0" borderId="0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top"/>
    </xf>
    <xf numFmtId="2" fontId="40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6" fillId="0" borderId="0" xfId="0" applyFont="1" applyBorder="1"/>
    <xf numFmtId="164" fontId="41" fillId="0" borderId="1" xfId="0" applyNumberFormat="1" applyFont="1" applyBorder="1" applyAlignment="1">
      <alignment horizontal="center"/>
    </xf>
    <xf numFmtId="2" fontId="40" fillId="0" borderId="0" xfId="0" applyNumberFormat="1" applyFont="1" applyFill="1" applyBorder="1" applyAlignment="1">
      <alignment horizontal="center" vertical="center"/>
    </xf>
    <xf numFmtId="0" fontId="38" fillId="0" borderId="0" xfId="0" applyFont="1" applyAlignment="1"/>
    <xf numFmtId="1" fontId="38" fillId="0" borderId="1" xfId="0" applyNumberFormat="1" applyFont="1" applyBorder="1"/>
    <xf numFmtId="0" fontId="42" fillId="0" borderId="0" xfId="0" applyFont="1" applyBorder="1"/>
    <xf numFmtId="0" fontId="16" fillId="0" borderId="4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1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38" fillId="0" borderId="0" xfId="0" applyFont="1" applyAlignment="1">
      <alignment wrapText="1"/>
    </xf>
    <xf numFmtId="0" fontId="38" fillId="0" borderId="0" xfId="0" applyFont="1" applyAlignment="1">
      <alignment horizontal="left" wrapText="1"/>
    </xf>
    <xf numFmtId="0" fontId="38" fillId="0" borderId="0" xfId="0" applyFont="1" applyAlignment="1">
      <alignment horizontal="right"/>
    </xf>
    <xf numFmtId="0" fontId="16" fillId="0" borderId="1" xfId="0" applyFont="1" applyFill="1" applyBorder="1" applyAlignment="1">
      <alignment horizontal="center"/>
    </xf>
    <xf numFmtId="164" fontId="38" fillId="0" borderId="1" xfId="0" applyNumberFormat="1" applyFont="1" applyBorder="1" applyAlignment="1">
      <alignment horizontal="right" vertical="center"/>
    </xf>
    <xf numFmtId="170" fontId="38" fillId="0" borderId="1" xfId="41" applyNumberFormat="1" applyFont="1" applyBorder="1" applyAlignment="1">
      <alignment horizontal="right"/>
    </xf>
    <xf numFmtId="170" fontId="38" fillId="0" borderId="1" xfId="0" applyNumberFormat="1" applyFont="1" applyBorder="1" applyAlignment="1">
      <alignment horizontal="right"/>
    </xf>
    <xf numFmtId="11" fontId="38" fillId="0" borderId="0" xfId="0" applyNumberFormat="1" applyFont="1"/>
    <xf numFmtId="1" fontId="38" fillId="0" borderId="1" xfId="0" applyNumberFormat="1" applyFont="1" applyBorder="1" applyAlignment="1">
      <alignment horizontal="center" vertical="center"/>
    </xf>
    <xf numFmtId="0" fontId="46" fillId="0" borderId="1" xfId="0" applyFont="1" applyBorder="1"/>
    <xf numFmtId="2" fontId="37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top" wrapText="1"/>
    </xf>
    <xf numFmtId="164" fontId="38" fillId="0" borderId="1" xfId="0" applyNumberFormat="1" applyFont="1" applyBorder="1"/>
    <xf numFmtId="0" fontId="48" fillId="0" borderId="0" xfId="0" applyFont="1" applyBorder="1" applyAlignment="1">
      <alignment horizontal="justify" vertical="center" wrapText="1"/>
    </xf>
    <xf numFmtId="9" fontId="48" fillId="0" borderId="0" xfId="0" applyNumberFormat="1" applyFont="1" applyBorder="1" applyAlignment="1">
      <alignment horizontal="justify" vertical="center" wrapText="1"/>
    </xf>
    <xf numFmtId="0" fontId="0" fillId="0" borderId="0" xfId="0" applyBorder="1" applyAlignment="1">
      <alignment vertical="top" wrapText="1"/>
    </xf>
    <xf numFmtId="0" fontId="49" fillId="0" borderId="0" xfId="0" applyFont="1" applyBorder="1" applyAlignment="1">
      <alignment horizontal="left" vertical="center" wrapText="1" indent="2"/>
    </xf>
    <xf numFmtId="10" fontId="38" fillId="0" borderId="1" xfId="41" applyNumberFormat="1" applyFont="1" applyFill="1" applyBorder="1"/>
    <xf numFmtId="10" fontId="38" fillId="0" borderId="1" xfId="41" applyNumberFormat="1" applyFont="1" applyBorder="1"/>
    <xf numFmtId="0" fontId="16" fillId="0" borderId="10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6" fillId="0" borderId="4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0" xfId="37" applyFont="1" applyAlignment="1">
      <alignment horizontal="left"/>
    </xf>
    <xf numFmtId="164" fontId="38" fillId="0" borderId="0" xfId="0" applyNumberFormat="1" applyFont="1" applyFill="1"/>
    <xf numFmtId="164" fontId="38" fillId="38" borderId="0" xfId="0" applyNumberFormat="1" applyFont="1" applyFill="1" applyAlignment="1">
      <alignment horizontal="center"/>
    </xf>
    <xf numFmtId="0" fontId="38" fillId="38" borderId="0" xfId="0" applyFont="1" applyFill="1" applyAlignment="1">
      <alignment horizontal="center"/>
    </xf>
    <xf numFmtId="1" fontId="52" fillId="0" borderId="0" xfId="0" applyNumberFormat="1" applyFont="1" applyAlignment="1">
      <alignment horizontal="center" vertical="center"/>
    </xf>
    <xf numFmtId="171" fontId="52" fillId="0" borderId="0" xfId="0" applyNumberFormat="1" applyFont="1" applyAlignment="1">
      <alignment horizontal="center" vertical="center"/>
    </xf>
    <xf numFmtId="172" fontId="53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right" vertical="center"/>
    </xf>
    <xf numFmtId="168" fontId="38" fillId="0" borderId="1" xfId="0" applyNumberFormat="1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54" fillId="0" borderId="1" xfId="0" applyFont="1" applyBorder="1" applyAlignment="1">
      <alignment horizontal="right"/>
    </xf>
    <xf numFmtId="0" fontId="35" fillId="0" borderId="0" xfId="0" applyFont="1" applyAlignment="1"/>
    <xf numFmtId="0" fontId="16" fillId="0" borderId="3" xfId="0" applyFont="1" applyBorder="1"/>
    <xf numFmtId="168" fontId="38" fillId="38" borderId="1" xfId="0" applyNumberFormat="1" applyFont="1" applyFill="1" applyBorder="1"/>
    <xf numFmtId="0" fontId="38" fillId="38" borderId="1" xfId="0" applyFont="1" applyFill="1" applyBorder="1"/>
    <xf numFmtId="172" fontId="38" fillId="38" borderId="1" xfId="0" applyNumberFormat="1" applyFont="1" applyFill="1" applyBorder="1"/>
    <xf numFmtId="0" fontId="38" fillId="37" borderId="1" xfId="0" applyFont="1" applyFill="1" applyBorder="1" applyAlignment="1">
      <alignment horizontal="left" vertical="center"/>
    </xf>
    <xf numFmtId="0" fontId="35" fillId="3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4" fontId="38" fillId="0" borderId="0" xfId="0" applyNumberFormat="1" applyFont="1" applyBorder="1" applyAlignment="1">
      <alignment horizontal="right" vertical="center"/>
    </xf>
    <xf numFmtId="0" fontId="38" fillId="0" borderId="0" xfId="46" applyFont="1"/>
    <xf numFmtId="2" fontId="11" fillId="0" borderId="0" xfId="46" applyNumberFormat="1" applyFont="1" applyAlignment="1"/>
    <xf numFmtId="0" fontId="11" fillId="0" borderId="0" xfId="46" applyFont="1"/>
    <xf numFmtId="15" fontId="11" fillId="0" borderId="0" xfId="46" applyNumberFormat="1" applyFont="1" applyAlignment="1">
      <alignment horizontal="left"/>
    </xf>
    <xf numFmtId="15" fontId="11" fillId="0" borderId="0" xfId="46" applyNumberFormat="1" applyFont="1"/>
    <xf numFmtId="0" fontId="16" fillId="33" borderId="0" xfId="46" applyFont="1" applyFill="1" applyAlignment="1">
      <alignment horizontal="center"/>
    </xf>
    <xf numFmtId="0" fontId="16" fillId="0" borderId="0" xfId="46" applyFont="1" applyAlignment="1">
      <alignment horizontal="center"/>
    </xf>
    <xf numFmtId="0" fontId="38" fillId="41" borderId="1" xfId="46" applyFont="1" applyFill="1" applyBorder="1" applyAlignment="1">
      <alignment horizontal="center" vertical="center" wrapText="1"/>
    </xf>
    <xf numFmtId="0" fontId="38" fillId="41" borderId="1" xfId="46" applyFont="1" applyFill="1" applyBorder="1" applyAlignment="1">
      <alignment horizontal="center" vertical="center"/>
    </xf>
    <xf numFmtId="0" fontId="38" fillId="0" borderId="1" xfId="46" applyFont="1" applyBorder="1" applyAlignment="1">
      <alignment horizontal="left" vertical="center" wrapText="1"/>
    </xf>
    <xf numFmtId="0" fontId="38" fillId="0" borderId="1" xfId="46" applyFont="1" applyBorder="1" applyAlignment="1">
      <alignment horizontal="center" vertical="center"/>
    </xf>
    <xf numFmtId="2" fontId="38" fillId="0" borderId="1" xfId="46" applyNumberFormat="1" applyFont="1" applyBorder="1" applyAlignment="1">
      <alignment horizontal="center" vertical="center"/>
    </xf>
    <xf numFmtId="0" fontId="38" fillId="0" borderId="0" xfId="46" applyFont="1" applyAlignment="1">
      <alignment vertical="center" wrapText="1"/>
    </xf>
    <xf numFmtId="0" fontId="16" fillId="42" borderId="0" xfId="46" applyFont="1" applyFill="1" applyAlignment="1">
      <alignment horizontal="left"/>
    </xf>
    <xf numFmtId="0" fontId="42" fillId="0" borderId="0" xfId="46" applyFont="1"/>
    <xf numFmtId="0" fontId="38" fillId="0" borderId="0" xfId="46" applyFont="1" applyBorder="1" applyAlignment="1">
      <alignment horizontal="left"/>
    </xf>
    <xf numFmtId="0" fontId="38" fillId="0" borderId="0" xfId="46" applyFont="1" applyBorder="1"/>
    <xf numFmtId="2" fontId="38" fillId="0" borderId="0" xfId="46" applyNumberFormat="1" applyFont="1" applyBorder="1"/>
    <xf numFmtId="0" fontId="57" fillId="0" borderId="0" xfId="46" applyFont="1"/>
    <xf numFmtId="1" fontId="38" fillId="38" borderId="0" xfId="46" applyNumberFormat="1" applyFont="1" applyFill="1" applyBorder="1"/>
    <xf numFmtId="1" fontId="38" fillId="0" borderId="0" xfId="46" applyNumberFormat="1" applyFont="1" applyBorder="1"/>
    <xf numFmtId="0" fontId="57" fillId="0" borderId="0" xfId="46" applyFont="1" applyBorder="1"/>
    <xf numFmtId="1" fontId="38" fillId="42" borderId="0" xfId="46" applyNumberFormat="1" applyFont="1" applyFill="1" applyBorder="1"/>
    <xf numFmtId="0" fontId="38" fillId="40" borderId="1" xfId="0" applyFont="1" applyFill="1" applyBorder="1" applyAlignment="1">
      <alignment horizontal="center" vertical="center"/>
    </xf>
    <xf numFmtId="0" fontId="38" fillId="40" borderId="1" xfId="0" applyFont="1" applyFill="1" applyBorder="1"/>
    <xf numFmtId="1" fontId="38" fillId="40" borderId="1" xfId="0" applyNumberFormat="1" applyFont="1" applyFill="1" applyBorder="1" applyAlignment="1">
      <alignment horizontal="center" vertical="center"/>
    </xf>
    <xf numFmtId="15" fontId="38" fillId="0" borderId="0" xfId="0" applyNumberFormat="1" applyFont="1" applyAlignment="1">
      <alignment horizontal="left"/>
    </xf>
    <xf numFmtId="174" fontId="38" fillId="0" borderId="1" xfId="0" applyNumberFormat="1" applyFont="1" applyBorder="1" applyAlignment="1">
      <alignment horizontal="left"/>
    </xf>
    <xf numFmtId="0" fontId="54" fillId="0" borderId="1" xfId="0" applyFont="1" applyBorder="1" applyAlignment="1">
      <alignment horizontal="center"/>
    </xf>
    <xf numFmtId="0" fontId="38" fillId="0" borderId="1" xfId="0" applyFont="1" applyBorder="1" applyAlignment="1">
      <alignment horizontal="right" vertical="center"/>
    </xf>
    <xf numFmtId="0" fontId="38" fillId="40" borderId="1" xfId="0" applyFont="1" applyFill="1" applyBorder="1" applyAlignment="1">
      <alignment horizontal="right" vertical="center"/>
    </xf>
    <xf numFmtId="0" fontId="10" fillId="0" borderId="0" xfId="46" applyFont="1" applyFill="1"/>
    <xf numFmtId="0" fontId="11" fillId="0" borderId="0" xfId="46" applyFont="1" applyFill="1"/>
    <xf numFmtId="0" fontId="11" fillId="0" borderId="0" xfId="46" applyFont="1" applyFill="1" applyBorder="1"/>
    <xf numFmtId="0" fontId="11" fillId="0" borderId="0" xfId="46" applyFont="1" applyFill="1" applyBorder="1" applyAlignment="1">
      <alignment horizontal="center"/>
    </xf>
    <xf numFmtId="1" fontId="11" fillId="0" borderId="0" xfId="46" applyNumberFormat="1" applyFont="1" applyFill="1" applyBorder="1" applyAlignment="1">
      <alignment horizontal="center"/>
    </xf>
    <xf numFmtId="0" fontId="11" fillId="0" borderId="0" xfId="46" applyFont="1" applyFill="1" applyAlignment="1">
      <alignment horizontal="left"/>
    </xf>
    <xf numFmtId="1" fontId="11" fillId="0" borderId="0" xfId="46" applyNumberFormat="1" applyFont="1" applyFill="1" applyAlignment="1">
      <alignment horizontal="center"/>
    </xf>
    <xf numFmtId="0" fontId="38" fillId="0" borderId="1" xfId="46" applyFont="1" applyFill="1" applyBorder="1"/>
    <xf numFmtId="0" fontId="16" fillId="0" borderId="0" xfId="46" applyFont="1" applyFill="1"/>
    <xf numFmtId="0" fontId="38" fillId="0" borderId="0" xfId="46" applyFont="1" applyFill="1"/>
    <xf numFmtId="0" fontId="38" fillId="0" borderId="0" xfId="46" applyFont="1" applyFill="1" applyAlignment="1">
      <alignment horizontal="center"/>
    </xf>
    <xf numFmtId="0" fontId="38" fillId="0" borderId="0" xfId="46" applyFont="1" applyFill="1" applyAlignment="1">
      <alignment horizontal="left"/>
    </xf>
    <xf numFmtId="164" fontId="38" fillId="0" borderId="0" xfId="46" applyNumberFormat="1" applyFont="1" applyBorder="1" applyAlignment="1">
      <alignment horizontal="center"/>
    </xf>
    <xf numFmtId="2" fontId="38" fillId="33" borderId="0" xfId="46" applyNumberFormat="1" applyFont="1" applyFill="1" applyAlignment="1">
      <alignment horizontal="center"/>
    </xf>
    <xf numFmtId="0" fontId="38" fillId="33" borderId="1" xfId="46" applyFont="1" applyFill="1" applyBorder="1"/>
    <xf numFmtId="2" fontId="38" fillId="0" borderId="0" xfId="46" applyNumberFormat="1" applyFont="1" applyAlignment="1"/>
    <xf numFmtId="0" fontId="35" fillId="0" borderId="0" xfId="46" applyFont="1"/>
    <xf numFmtId="15" fontId="38" fillId="0" borderId="0" xfId="46" applyNumberFormat="1" applyFont="1"/>
    <xf numFmtId="0" fontId="16" fillId="0" borderId="0" xfId="46" applyFont="1"/>
    <xf numFmtId="0" fontId="16" fillId="0" borderId="0" xfId="37" applyFont="1" applyAlignment="1"/>
    <xf numFmtId="2" fontId="38" fillId="0" borderId="0" xfId="0" applyNumberFormat="1" applyFont="1" applyAlignment="1"/>
    <xf numFmtId="0" fontId="37" fillId="0" borderId="0" xfId="0" applyFont="1"/>
    <xf numFmtId="1" fontId="38" fillId="0" borderId="1" xfId="0" applyNumberFormat="1" applyFont="1" applyBorder="1" applyAlignment="1">
      <alignment horizontal="right"/>
    </xf>
    <xf numFmtId="1" fontId="38" fillId="40" borderId="1" xfId="0" applyNumberFormat="1" applyFont="1" applyFill="1" applyBorder="1" applyAlignment="1">
      <alignment horizontal="right"/>
    </xf>
    <xf numFmtId="164" fontId="11" fillId="0" borderId="0" xfId="46" applyNumberFormat="1" applyFont="1"/>
    <xf numFmtId="0" fontId="54" fillId="0" borderId="0" xfId="46" applyFont="1" applyFill="1"/>
    <xf numFmtId="0" fontId="42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4" xfId="0" applyFont="1" applyBorder="1" applyAlignment="1"/>
    <xf numFmtId="0" fontId="16" fillId="0" borderId="8" xfId="0" applyFont="1" applyBorder="1" applyAlignment="1"/>
    <xf numFmtId="0" fontId="16" fillId="0" borderId="1" xfId="0" applyFont="1" applyBorder="1" applyAlignment="1"/>
    <xf numFmtId="2" fontId="40" fillId="0" borderId="1" xfId="0" applyNumberFormat="1" applyFont="1" applyBorder="1" applyAlignment="1">
      <alignment horizontal="center"/>
    </xf>
    <xf numFmtId="0" fontId="38" fillId="43" borderId="0" xfId="0" applyFont="1" applyFill="1"/>
    <xf numFmtId="10" fontId="38" fillId="0" borderId="1" xfId="41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8" fillId="0" borderId="11" xfId="46" applyFont="1" applyFill="1" applyBorder="1" applyAlignment="1">
      <alignment horizontal="center"/>
    </xf>
    <xf numFmtId="1" fontId="59" fillId="44" borderId="0" xfId="0" applyNumberFormat="1" applyFont="1" applyFill="1"/>
    <xf numFmtId="1" fontId="38" fillId="0" borderId="0" xfId="0" applyNumberFormat="1" applyFont="1" applyBorder="1"/>
    <xf numFmtId="1" fontId="38" fillId="0" borderId="0" xfId="0" applyNumberFormat="1" applyFont="1" applyBorder="1" applyAlignment="1">
      <alignment horizontal="center" vertical="center"/>
    </xf>
    <xf numFmtId="0" fontId="58" fillId="0" borderId="0" xfId="0" applyFont="1" applyFill="1"/>
    <xf numFmtId="164" fontId="38" fillId="0" borderId="0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4" fillId="0" borderId="0" xfId="0" applyFont="1"/>
    <xf numFmtId="0" fontId="38" fillId="0" borderId="0" xfId="0" applyFont="1" applyBorder="1" applyAlignment="1">
      <alignment horizontal="center"/>
    </xf>
    <xf numFmtId="170" fontId="38" fillId="0" borderId="0" xfId="0" applyNumberFormat="1" applyFont="1" applyBorder="1" applyAlignment="1">
      <alignment horizontal="right"/>
    </xf>
    <xf numFmtId="10" fontId="38" fillId="0" borderId="0" xfId="0" applyNumberFormat="1" applyFont="1" applyBorder="1" applyAlignment="1">
      <alignment horizontal="right"/>
    </xf>
    <xf numFmtId="43" fontId="38" fillId="0" borderId="1" xfId="47" applyNumberFormat="1" applyFont="1" applyFill="1" applyBorder="1" applyAlignment="1">
      <alignment vertical="center"/>
    </xf>
    <xf numFmtId="2" fontId="38" fillId="36" borderId="1" xfId="45" applyNumberFormat="1" applyFont="1" applyFill="1" applyBorder="1" applyAlignment="1">
      <alignment horizontal="right" vertical="center" wrapText="1"/>
    </xf>
    <xf numFmtId="2" fontId="16" fillId="0" borderId="1" xfId="45" applyNumberFormat="1" applyFont="1" applyBorder="1" applyAlignment="1">
      <alignment horizontal="right" vertical="center"/>
    </xf>
    <xf numFmtId="2" fontId="38" fillId="0" borderId="1" xfId="45" applyNumberFormat="1" applyFont="1" applyBorder="1" applyAlignment="1">
      <alignment horizontal="right" vertical="center"/>
    </xf>
    <xf numFmtId="0" fontId="38" fillId="35" borderId="1" xfId="0" applyFont="1" applyFill="1" applyBorder="1"/>
    <xf numFmtId="0" fontId="38" fillId="35" borderId="1" xfId="0" applyFont="1" applyFill="1" applyBorder="1" applyAlignment="1">
      <alignment horizontal="right" vertical="center"/>
    </xf>
    <xf numFmtId="2" fontId="16" fillId="35" borderId="1" xfId="45" applyNumberFormat="1" applyFont="1" applyFill="1" applyBorder="1" applyAlignment="1">
      <alignment horizontal="right" vertical="center"/>
    </xf>
    <xf numFmtId="2" fontId="38" fillId="35" borderId="1" xfId="45" applyNumberFormat="1" applyFont="1" applyFill="1" applyBorder="1" applyAlignment="1">
      <alignment horizontal="right" vertical="center" wrapText="1"/>
    </xf>
    <xf numFmtId="2" fontId="38" fillId="35" borderId="1" xfId="45" applyNumberFormat="1" applyFont="1" applyFill="1" applyBorder="1" applyAlignment="1">
      <alignment horizontal="right" vertical="center"/>
    </xf>
    <xf numFmtId="0" fontId="11" fillId="0" borderId="1" xfId="37" applyFont="1" applyFill="1" applyBorder="1" applyAlignment="1">
      <alignment horizontal="center"/>
    </xf>
    <xf numFmtId="0" fontId="10" fillId="0" borderId="1" xfId="37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35" borderId="23" xfId="46" applyFont="1" applyFill="1" applyBorder="1" applyAlignment="1">
      <alignment horizontal="center"/>
    </xf>
    <xf numFmtId="1" fontId="11" fillId="0" borderId="0" xfId="37" applyNumberFormat="1" applyFont="1" applyBorder="1" applyAlignment="1">
      <alignment horizontal="center"/>
    </xf>
    <xf numFmtId="0" fontId="3" fillId="33" borderId="0" xfId="0" applyFont="1" applyFill="1"/>
    <xf numFmtId="164" fontId="11" fillId="35" borderId="1" xfId="37" applyNumberFormat="1" applyFont="1" applyFill="1" applyBorder="1" applyAlignment="1">
      <alignment horizontal="center"/>
    </xf>
    <xf numFmtId="0" fontId="2" fillId="33" borderId="0" xfId="0" applyFont="1" applyFill="1"/>
    <xf numFmtId="0" fontId="38" fillId="0" borderId="1" xfId="0" applyFont="1" applyBorder="1" applyAlignment="1">
      <alignment horizontal="right"/>
    </xf>
    <xf numFmtId="10" fontId="38" fillId="0" borderId="1" xfId="41" applyNumberFormat="1" applyFont="1" applyBorder="1" applyAlignment="1">
      <alignment horizontal="right"/>
    </xf>
    <xf numFmtId="164" fontId="38" fillId="33" borderId="1" xfId="0" applyNumberFormat="1" applyFont="1" applyFill="1" applyBorder="1" applyAlignment="1">
      <alignment horizontal="left"/>
    </xf>
    <xf numFmtId="43" fontId="38" fillId="0" borderId="1" xfId="47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left"/>
    </xf>
    <xf numFmtId="2" fontId="38" fillId="33" borderId="1" xfId="0" applyNumberFormat="1" applyFont="1" applyFill="1" applyBorder="1" applyAlignment="1">
      <alignment horizontal="left"/>
    </xf>
    <xf numFmtId="164" fontId="38" fillId="0" borderId="1" xfId="0" applyNumberFormat="1" applyFont="1" applyFill="1" applyBorder="1" applyAlignment="1">
      <alignment horizontal="left"/>
    </xf>
    <xf numFmtId="43" fontId="38" fillId="0" borderId="1" xfId="47" applyNumberFormat="1" applyFont="1" applyFill="1" applyBorder="1" applyAlignment="1">
      <alignment horizontal="left"/>
    </xf>
    <xf numFmtId="43" fontId="38" fillId="33" borderId="1" xfId="0" applyNumberFormat="1" applyFont="1" applyFill="1" applyBorder="1"/>
    <xf numFmtId="0" fontId="38" fillId="0" borderId="0" xfId="0" applyFont="1" applyBorder="1" applyAlignment="1">
      <alignment horizontal="left"/>
    </xf>
    <xf numFmtId="164" fontId="38" fillId="0" borderId="0" xfId="0" applyNumberFormat="1" applyFont="1" applyBorder="1"/>
    <xf numFmtId="9" fontId="38" fillId="0" borderId="0" xfId="41" applyFont="1" applyBorder="1"/>
    <xf numFmtId="10" fontId="38" fillId="0" borderId="1" xfId="41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1" fontId="59" fillId="0" borderId="0" xfId="0" applyNumberFormat="1" applyFont="1" applyFill="1"/>
    <xf numFmtId="1" fontId="38" fillId="0" borderId="0" xfId="0" applyNumberFormat="1" applyFont="1" applyFill="1"/>
    <xf numFmtId="0" fontId="16" fillId="0" borderId="1" xfId="0" applyFont="1" applyFill="1" applyBorder="1" applyAlignment="1">
      <alignment horizontal="center"/>
    </xf>
    <xf numFmtId="0" fontId="10" fillId="0" borderId="0" xfId="46" applyFont="1" applyAlignment="1">
      <alignment horizontal="left"/>
    </xf>
    <xf numFmtId="0" fontId="16" fillId="0" borderId="0" xfId="37" applyFont="1" applyAlignment="1">
      <alignment horizontal="left"/>
    </xf>
    <xf numFmtId="9" fontId="48" fillId="0" borderId="0" xfId="0" applyNumberFormat="1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top"/>
    </xf>
    <xf numFmtId="0" fontId="38" fillId="0" borderId="11" xfId="0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38" fillId="0" borderId="10" xfId="0" applyFont="1" applyBorder="1" applyAlignment="1">
      <alignment horizontal="left" vertical="center" wrapText="1"/>
    </xf>
    <xf numFmtId="0" fontId="38" fillId="0" borderId="21" xfId="0" applyFont="1" applyBorder="1" applyAlignment="1">
      <alignment horizontal="left" vertical="center" wrapText="1"/>
    </xf>
    <xf numFmtId="0" fontId="38" fillId="0" borderId="11" xfId="0" applyFont="1" applyBorder="1" applyAlignment="1">
      <alignment horizontal="left" vertical="center" wrapText="1"/>
    </xf>
    <xf numFmtId="0" fontId="38" fillId="0" borderId="21" xfId="0" applyFont="1" applyFill="1" applyBorder="1" applyAlignment="1">
      <alignment horizontal="center" vertical="top"/>
    </xf>
    <xf numFmtId="0" fontId="38" fillId="0" borderId="4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0" xfId="46" applyFont="1" applyAlignment="1">
      <alignment horizontal="left"/>
    </xf>
    <xf numFmtId="0" fontId="16" fillId="0" borderId="1" xfId="0" applyFont="1" applyFill="1" applyBorder="1" applyAlignment="1">
      <alignment horizontal="left" vertical="top"/>
    </xf>
    <xf numFmtId="0" fontId="16" fillId="0" borderId="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0" fillId="33" borderId="1" xfId="37" applyFont="1" applyFill="1" applyBorder="1" applyAlignment="1">
      <alignment horizontal="center"/>
    </xf>
    <xf numFmtId="0" fontId="10" fillId="0" borderId="4" xfId="37" applyFont="1" applyBorder="1" applyAlignment="1">
      <alignment horizontal="center"/>
    </xf>
    <xf numFmtId="0" fontId="10" fillId="0" borderId="9" xfId="37" applyFont="1" applyBorder="1" applyAlignment="1">
      <alignment horizontal="center"/>
    </xf>
    <xf numFmtId="0" fontId="10" fillId="0" borderId="0" xfId="37" applyFont="1" applyAlignment="1">
      <alignment horizontal="center"/>
    </xf>
    <xf numFmtId="0" fontId="9" fillId="0" borderId="0" xfId="37" applyFont="1" applyBorder="1" applyAlignment="1">
      <alignment horizontal="center"/>
    </xf>
    <xf numFmtId="0" fontId="9" fillId="0" borderId="0" xfId="37" applyFont="1" applyBorder="1" applyAlignment="1">
      <alignment horizontal="left"/>
    </xf>
    <xf numFmtId="0" fontId="10" fillId="0" borderId="1" xfId="37" applyFont="1" applyFill="1" applyBorder="1" applyAlignment="1">
      <alignment horizontal="center" vertical="center" wrapText="1"/>
    </xf>
    <xf numFmtId="0" fontId="11" fillId="0" borderId="1" xfId="37" applyFont="1" applyFill="1" applyBorder="1" applyAlignment="1">
      <alignment horizontal="center"/>
    </xf>
    <xf numFmtId="0" fontId="10" fillId="0" borderId="0" xfId="37" applyFont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1" xfId="37" applyFont="1" applyFill="1" applyBorder="1" applyAlignment="1">
      <alignment horizontal="center"/>
    </xf>
    <xf numFmtId="0" fontId="10" fillId="33" borderId="3" xfId="37" applyFont="1" applyFill="1" applyBorder="1" applyAlignment="1">
      <alignment horizontal="center"/>
    </xf>
    <xf numFmtId="0" fontId="10" fillId="33" borderId="22" xfId="37" applyFont="1" applyFill="1" applyBorder="1" applyAlignment="1">
      <alignment horizontal="center"/>
    </xf>
    <xf numFmtId="0" fontId="10" fillId="0" borderId="3" xfId="37" applyFont="1" applyBorder="1" applyAlignment="1">
      <alignment horizontal="center"/>
    </xf>
    <xf numFmtId="0" fontId="10" fillId="33" borderId="4" xfId="37" applyFont="1" applyFill="1" applyBorder="1" applyAlignment="1">
      <alignment horizontal="center"/>
    </xf>
    <xf numFmtId="0" fontId="10" fillId="33" borderId="8" xfId="37" applyFont="1" applyFill="1" applyBorder="1" applyAlignment="1">
      <alignment horizontal="center"/>
    </xf>
    <xf numFmtId="0" fontId="10" fillId="33" borderId="9" xfId="37" applyFont="1" applyFill="1" applyBorder="1" applyAlignment="1">
      <alignment horizontal="center"/>
    </xf>
    <xf numFmtId="0" fontId="10" fillId="0" borderId="10" xfId="37" applyFont="1" applyFill="1" applyBorder="1" applyAlignment="1">
      <alignment horizontal="center" vertical="center" wrapText="1"/>
    </xf>
    <xf numFmtId="0" fontId="10" fillId="0" borderId="11" xfId="37" applyFont="1" applyFill="1" applyBorder="1" applyAlignment="1">
      <alignment horizontal="center" vertical="center" wrapText="1"/>
    </xf>
    <xf numFmtId="0" fontId="11" fillId="0" borderId="4" xfId="37" applyFont="1" applyFill="1" applyBorder="1" applyAlignment="1">
      <alignment horizontal="center"/>
    </xf>
    <xf numFmtId="0" fontId="11" fillId="0" borderId="9" xfId="37" applyFont="1" applyFill="1" applyBorder="1" applyAlignment="1">
      <alignment horizontal="center"/>
    </xf>
    <xf numFmtId="0" fontId="10" fillId="0" borderId="4" xfId="37" applyFont="1" applyFill="1" applyBorder="1" applyAlignment="1">
      <alignment horizontal="center"/>
    </xf>
    <xf numFmtId="0" fontId="10" fillId="0" borderId="8" xfId="37" applyFont="1" applyFill="1" applyBorder="1" applyAlignment="1">
      <alignment horizontal="center"/>
    </xf>
    <xf numFmtId="0" fontId="10" fillId="0" borderId="9" xfId="37" applyFont="1" applyFill="1" applyBorder="1" applyAlignment="1">
      <alignment horizontal="center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1" fontId="11" fillId="0" borderId="0" xfId="46" applyNumberFormat="1" applyFont="1"/>
    <xf numFmtId="1" fontId="38" fillId="36" borderId="1" xfId="45" applyNumberFormat="1" applyFont="1" applyFill="1" applyBorder="1" applyAlignment="1">
      <alignment horizontal="right" vertical="center" wrapText="1"/>
    </xf>
    <xf numFmtId="1" fontId="38" fillId="35" borderId="1" xfId="45" applyNumberFormat="1" applyFont="1" applyFill="1" applyBorder="1" applyAlignment="1">
      <alignment horizontal="right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5" builtinId="3"/>
    <cellStyle name="Comma 2" xfId="47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7000000}"/>
    <cellStyle name="Normal 2 2" xfId="46" xr:uid="{00000000-0005-0000-0000-000028000000}"/>
    <cellStyle name="Normal 3" xfId="38" xr:uid="{00000000-0005-0000-0000-000029000000}"/>
    <cellStyle name="Note 2" xfId="39" xr:uid="{00000000-0005-0000-0000-00002A000000}"/>
    <cellStyle name="Output" xfId="40" builtinId="21" customBuiltin="1"/>
    <cellStyle name="Percent" xfId="41" builtinId="5"/>
    <cellStyle name="Title 2" xfId="42" xr:uid="{00000000-0005-0000-0000-00002D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colors>
    <mruColors>
      <color rgb="FF0FC8E1"/>
      <color rgb="FFAD1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2122952804563"/>
          <c:y val="4.1725930231377301E-2"/>
          <c:w val="0.81797097023984489"/>
          <c:h val="0.84378074561877736"/>
        </c:manualLayout>
      </c:layout>
      <c:scatterChart>
        <c:scatterStyle val="lineMarker"/>
        <c:varyColors val="0"/>
        <c:ser>
          <c:idx val="0"/>
          <c:order val="0"/>
          <c:tx>
            <c:v>PMF</c:v>
          </c:tx>
          <c:spPr>
            <a:ln w="25400" cap="flat" cmpd="dbl" algn="ctr">
              <a:noFill/>
              <a:round/>
            </a:ln>
            <a:effectLst/>
          </c:spPr>
          <c:marker>
            <c:symbol val="star"/>
            <c:size val="4"/>
            <c:spPr>
              <a:noFill/>
              <a:ln w="25400" cap="flat" cmpd="dbl" algn="ctr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2968035750667898"/>
                  <c:y val="-0.31888459991859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cap="none" baseline="0">
                      <a:solidFill>
                        <a:schemeClr val="tx1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'PMF calculation'!$B$9:$B$27</c:f>
              <c:numCache>
                <c:formatCode>General</c:formatCode>
                <c:ptCount val="19"/>
                <c:pt idx="0">
                  <c:v>1300</c:v>
                </c:pt>
                <c:pt idx="1">
                  <c:v>1950</c:v>
                </c:pt>
                <c:pt idx="2">
                  <c:v>450</c:v>
                </c:pt>
                <c:pt idx="3">
                  <c:v>12560</c:v>
                </c:pt>
                <c:pt idx="4">
                  <c:v>8051</c:v>
                </c:pt>
                <c:pt idx="5">
                  <c:v>31773</c:v>
                </c:pt>
                <c:pt idx="6">
                  <c:v>550</c:v>
                </c:pt>
                <c:pt idx="7">
                  <c:v>1120</c:v>
                </c:pt>
                <c:pt idx="8">
                  <c:v>1400</c:v>
                </c:pt>
                <c:pt idx="9">
                  <c:v>2080</c:v>
                </c:pt>
                <c:pt idx="10">
                  <c:v>126</c:v>
                </c:pt>
                <c:pt idx="11">
                  <c:v>3850</c:v>
                </c:pt>
                <c:pt idx="12">
                  <c:v>31100</c:v>
                </c:pt>
                <c:pt idx="13">
                  <c:v>42725</c:v>
                </c:pt>
                <c:pt idx="14">
                  <c:v>3500</c:v>
                </c:pt>
                <c:pt idx="15">
                  <c:v>20700</c:v>
                </c:pt>
                <c:pt idx="16">
                  <c:v>21342</c:v>
                </c:pt>
                <c:pt idx="17">
                  <c:v>1336</c:v>
                </c:pt>
                <c:pt idx="18">
                  <c:v>737</c:v>
                </c:pt>
              </c:numCache>
            </c:numRef>
          </c:xVal>
          <c:yVal>
            <c:numRef>
              <c:f>'PMF calculation'!$D$9:$D$27</c:f>
              <c:numCache>
                <c:formatCode>0.00</c:formatCode>
                <c:ptCount val="19"/>
                <c:pt idx="0">
                  <c:v>2.6923076923076925</c:v>
                </c:pt>
                <c:pt idx="1">
                  <c:v>5.7435897435897436</c:v>
                </c:pt>
                <c:pt idx="2">
                  <c:v>13.897777777777778</c:v>
                </c:pt>
                <c:pt idx="3">
                  <c:v>2.6671974522292992</c:v>
                </c:pt>
                <c:pt idx="4">
                  <c:v>3.8308284685132281</c:v>
                </c:pt>
                <c:pt idx="5">
                  <c:v>1.3368268655776918</c:v>
                </c:pt>
                <c:pt idx="6">
                  <c:v>8</c:v>
                </c:pt>
                <c:pt idx="7">
                  <c:v>5.1785714285714288</c:v>
                </c:pt>
                <c:pt idx="8">
                  <c:v>5.7857142857142856</c:v>
                </c:pt>
                <c:pt idx="9">
                  <c:v>5.1923076923076925</c:v>
                </c:pt>
                <c:pt idx="10">
                  <c:v>19.603174603174605</c:v>
                </c:pt>
                <c:pt idx="11">
                  <c:v>3.1948051948051948</c:v>
                </c:pt>
                <c:pt idx="12">
                  <c:v>1.0610932475884245</c:v>
                </c:pt>
                <c:pt idx="13">
                  <c:v>1.4768870684610884</c:v>
                </c:pt>
                <c:pt idx="14">
                  <c:v>4.1714285714285717</c:v>
                </c:pt>
                <c:pt idx="15">
                  <c:v>1.1299033816425121</c:v>
                </c:pt>
                <c:pt idx="16">
                  <c:v>1.149283103739106</c:v>
                </c:pt>
                <c:pt idx="17">
                  <c:v>3.0538922155688621</c:v>
                </c:pt>
                <c:pt idx="18">
                  <c:v>4.0434192672998641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A-4DE6-ABB1-2DD0765D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77152"/>
        <c:axId val="334177544"/>
      </c:scatterChart>
      <c:valAx>
        <c:axId val="33417715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50" b="0" i="0" u="none" strike="noStrike" kern="1200" cap="none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050" b="0" i="0" u="none" strike="noStrike" kern="1200" cap="none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rPr>
                  <a:t>Drainage Area (Km2)</a:t>
                </a:r>
              </a:p>
            </c:rich>
          </c:tx>
          <c:layout>
            <c:manualLayout>
              <c:xMode val="edge"/>
              <c:yMode val="edge"/>
              <c:x val="0.44123912796901965"/>
              <c:y val="0.9497956264564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50" b="0" i="0" u="none" strike="noStrike" kern="1200" cap="none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cap="none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34177544"/>
        <c:crossesAt val="0.1"/>
        <c:crossBetween val="midCat"/>
      </c:valAx>
      <c:valAx>
        <c:axId val="334177544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50" b="0" i="0" u="none" strike="noStrike" kern="1200" cap="none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PMF/ Drainage Area (m3/s /  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0" i="0" u="none" strike="noStrike" kern="1200" cap="none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cap="none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341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 algn="ctr" rtl="0">
        <a:defRPr lang="en-US" sz="1050" b="0" i="0" u="none" strike="noStrike" kern="1200" cap="none" baseline="0">
          <a:solidFill>
            <a:schemeClr val="tx1"/>
          </a:solidFill>
          <a:latin typeface="Gill Sans MT" panose="020B0502020104020203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2131124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82393292548277"/>
          <c:y val="0.10502331044235912"/>
          <c:w val="0.79414162985605441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analys'!$A$81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'Regional flood frequency analys'!$C$102:$L$102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analys'!$C$104:$L$104</c:f>
              <c:numCache>
                <c:formatCode>0.0</c:formatCode>
                <c:ptCount val="10"/>
                <c:pt idx="0">
                  <c:v>2798.584155022234</c:v>
                </c:pt>
                <c:pt idx="1">
                  <c:v>2964.5585453983908</c:v>
                </c:pt>
                <c:pt idx="2">
                  <c:v>3707.1927614848119</c:v>
                </c:pt>
                <c:pt idx="3">
                  <c:v>4334.4680606506599</c:v>
                </c:pt>
                <c:pt idx="4">
                  <c:v>4955.7672728051257</c:v>
                </c:pt>
                <c:pt idx="5">
                  <c:v>5793.0706203962409</c:v>
                </c:pt>
                <c:pt idx="6">
                  <c:v>6449.0721459088163</c:v>
                </c:pt>
                <c:pt idx="7">
                  <c:v>7130.5653035371224</c:v>
                </c:pt>
                <c:pt idx="8">
                  <c:v>8077.4973906914993</c:v>
                </c:pt>
                <c:pt idx="9">
                  <c:v>8833.080041107647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3-4E4B-A13D-664473B8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85096"/>
        <c:axId val="383585488"/>
      </c:scatterChart>
      <c:valAx>
        <c:axId val="38358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85488"/>
        <c:crosses val="autoZero"/>
        <c:crossBetween val="midCat"/>
      </c:valAx>
      <c:valAx>
        <c:axId val="3835854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85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analys'!$A$55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293293510724953"/>
                  <c:y val="-2.2804982404802741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analys'!$C$102:$L$102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analys'!$C$103:$L$103</c:f>
              <c:numCache>
                <c:formatCode>0.0</c:formatCode>
                <c:ptCount val="10"/>
                <c:pt idx="0">
                  <c:v>2843.0881875132391</c:v>
                </c:pt>
                <c:pt idx="1">
                  <c:v>3011.0224291771879</c:v>
                </c:pt>
                <c:pt idx="2">
                  <c:v>3728.5968585209721</c:v>
                </c:pt>
                <c:pt idx="3">
                  <c:v>4296.925608290333</c:v>
                </c:pt>
                <c:pt idx="4">
                  <c:v>4830.8568187083038</c:v>
                </c:pt>
                <c:pt idx="5">
                  <c:v>5511.3377307575402</c:v>
                </c:pt>
                <c:pt idx="6">
                  <c:v>6017.3405872898466</c:v>
                </c:pt>
                <c:pt idx="7">
                  <c:v>6520.9830150438675</c:v>
                </c:pt>
                <c:pt idx="8">
                  <c:v>7188.083843681321</c:v>
                </c:pt>
                <c:pt idx="9">
                  <c:v>7696.3169096009533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8-425C-ADA2-D04555B9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4528"/>
        <c:axId val="381064920"/>
      </c:scatterChart>
      <c:valAx>
        <c:axId val="38106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4920"/>
        <c:crosses val="autoZero"/>
        <c:crossBetween val="midCat"/>
      </c:valAx>
      <c:valAx>
        <c:axId val="38106492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45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analys'!$C$170:$L$170</c:f>
            </c:numRef>
          </c:xVal>
          <c:yVal>
            <c:numRef>
              <c:f>'Regional flood frequency analys'!$C$173:$L$173</c:f>
            </c:numRef>
          </c:yVal>
          <c:smooth val="0"/>
          <c:extLst>
            <c:ext xmlns:c16="http://schemas.microsoft.com/office/drawing/2014/chart" uri="{C3380CC4-5D6E-409C-BE32-E72D297353CC}">
              <c16:uniqueId val="{00000000-77D5-4727-9C0A-55AB4799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7272"/>
        <c:axId val="381069624"/>
      </c:scatterChart>
      <c:valAx>
        <c:axId val="38106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9624"/>
        <c:crosses val="autoZero"/>
        <c:crossBetween val="midCat"/>
      </c:valAx>
      <c:valAx>
        <c:axId val="38106962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7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2131124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20175118166615"/>
          <c:y val="0.10502331044235912"/>
          <c:w val="0.75776416604279795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analys'!$A$81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analys'!$C$170:$L$170</c:f>
            </c:numRef>
          </c:xVal>
          <c:yVal>
            <c:numRef>
              <c:f>'Regional flood frequency analys'!$C$172:$L$172</c:f>
            </c:numRef>
          </c:yVal>
          <c:smooth val="0"/>
          <c:extLst>
            <c:ext xmlns:c16="http://schemas.microsoft.com/office/drawing/2014/chart" uri="{C3380CC4-5D6E-409C-BE32-E72D297353CC}">
              <c16:uniqueId val="{00000000-1C92-435B-A26E-51296804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3352"/>
        <c:axId val="381063744"/>
      </c:scatterChart>
      <c:valAx>
        <c:axId val="38106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3744"/>
        <c:crosses val="autoZero"/>
        <c:crossBetween val="midCat"/>
      </c:valAx>
      <c:valAx>
        <c:axId val="38106374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3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analys'!$A$55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analys'!$C$170:$L$170</c:f>
            </c:numRef>
          </c:xVal>
          <c:yVal>
            <c:numRef>
              <c:f>'Regional flood frequency analys'!$C$171:$L$171</c:f>
            </c:numRef>
          </c:yVal>
          <c:smooth val="0"/>
          <c:extLst>
            <c:ext xmlns:c16="http://schemas.microsoft.com/office/drawing/2014/chart" uri="{C3380CC4-5D6E-409C-BE32-E72D297353CC}">
              <c16:uniqueId val="{00000000-5392-4FB8-A6BB-07A6D93D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5704"/>
        <c:axId val="381065312"/>
      </c:scatterChart>
      <c:valAx>
        <c:axId val="38106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5312"/>
        <c:crosses val="autoZero"/>
        <c:crossBetween val="midCat"/>
      </c:valAx>
      <c:valAx>
        <c:axId val="3810653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5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72348024544762"/>
          <c:y val="8.94764608955433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analys'!$C$125:$L$125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analys'!$C$128:$L$128</c:f>
              <c:numCache>
                <c:formatCode>0.00</c:formatCode>
                <c:ptCount val="10"/>
                <c:pt idx="0">
                  <c:v>1333.6379986843704</c:v>
                </c:pt>
                <c:pt idx="1">
                  <c:v>1373.2970216638953</c:v>
                </c:pt>
                <c:pt idx="2">
                  <c:v>1545.5938004055492</c:v>
                </c:pt>
                <c:pt idx="3">
                  <c:v>1685.92698402782</c:v>
                </c:pt>
                <c:pt idx="4">
                  <c:v>1820.5379429543755</c:v>
                </c:pt>
                <c:pt idx="5">
                  <c:v>1994.778021671088</c:v>
                </c:pt>
                <c:pt idx="6">
                  <c:v>2125.3464413823722</c:v>
                </c:pt>
                <c:pt idx="7">
                  <c:v>2255.4384388626427</c:v>
                </c:pt>
                <c:pt idx="8">
                  <c:v>2427.0701270491995</c:v>
                </c:pt>
                <c:pt idx="9">
                  <c:v>2556.7852903027942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1-45F1-A926-240FCB33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7664"/>
        <c:axId val="381066096"/>
      </c:scatterChart>
      <c:valAx>
        <c:axId val="38106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6096"/>
        <c:crosses val="autoZero"/>
        <c:crossBetween val="midCat"/>
      </c:valAx>
      <c:valAx>
        <c:axId val="3810660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7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509811273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051556160229952"/>
          <c:y val="0.10502331044235912"/>
          <c:w val="0.7454498799414605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analys'!$A$81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analys'!$C$125:$L$125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analys'!$C$127:$L$127</c:f>
              <c:numCache>
                <c:formatCode>0.0</c:formatCode>
                <c:ptCount val="10"/>
                <c:pt idx="0">
                  <c:v>1370.9925128635991</c:v>
                </c:pt>
                <c:pt idx="1">
                  <c:v>1414.683721109458</c:v>
                </c:pt>
                <c:pt idx="2">
                  <c:v>1578.2140854157904</c:v>
                </c:pt>
                <c:pt idx="3">
                  <c:v>1686.4433483883608</c:v>
                </c:pt>
                <c:pt idx="4">
                  <c:v>1774.9282537674003</c:v>
                </c:pt>
                <c:pt idx="5">
                  <c:v>1872.9554232804892</c:v>
                </c:pt>
                <c:pt idx="6">
                  <c:v>1937.1025211702602</c:v>
                </c:pt>
                <c:pt idx="7">
                  <c:v>1994.7951853780989</c:v>
                </c:pt>
                <c:pt idx="8">
                  <c:v>2063.2279532432244</c:v>
                </c:pt>
                <c:pt idx="9">
                  <c:v>2110.1564854491958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9-4C99-93EF-AC584BA6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6488"/>
        <c:axId val="381068840"/>
      </c:scatterChart>
      <c:valAx>
        <c:axId val="38106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8840"/>
        <c:crosses val="autoZero"/>
        <c:crossBetween val="midCat"/>
      </c:valAx>
      <c:valAx>
        <c:axId val="3810688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6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analys'!$A$55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analys'!$C$125:$L$125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analys'!$C$126:$L$126</c:f>
              <c:numCache>
                <c:formatCode>0.0</c:formatCode>
                <c:ptCount val="10"/>
                <c:pt idx="0">
                  <c:v>1352.3130563300926</c:v>
                </c:pt>
                <c:pt idx="1">
                  <c:v>1396.5360814671876</c:v>
                </c:pt>
                <c:pt idx="2">
                  <c:v>1574.3583134793946</c:v>
                </c:pt>
                <c:pt idx="3">
                  <c:v>1704.7088299448419</c:v>
                </c:pt>
                <c:pt idx="4">
                  <c:v>1820.4192485747451</c:v>
                </c:pt>
                <c:pt idx="5">
                  <c:v>1960.0285482679385</c:v>
                </c:pt>
                <c:pt idx="6">
                  <c:v>2058.979777402631</c:v>
                </c:pt>
                <c:pt idx="7">
                  <c:v>2153.9002002338152</c:v>
                </c:pt>
                <c:pt idx="8">
                  <c:v>2274.8020077592519</c:v>
                </c:pt>
                <c:pt idx="9">
                  <c:v>2363.6312901426136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A-4E83-98C2-03A32CD21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2568"/>
        <c:axId val="259811440"/>
      </c:scatterChart>
      <c:valAx>
        <c:axId val="38106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11440"/>
        <c:crosses val="autoZero"/>
        <c:crossBetween val="midCat"/>
      </c:valAx>
      <c:valAx>
        <c:axId val="2598114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62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7346974661612"/>
          <c:y val="0.13488231119702118"/>
          <c:w val="0.78667295337187559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analys'!$A$80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519743760843453"/>
                  <c:y val="-3.1334157942900814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analys'!$C$79:$L$79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analys'!$C$80:$L$80</c:f>
              <c:numCache>
                <c:formatCode>0.00</c:formatCode>
                <c:ptCount val="10"/>
                <c:pt idx="0">
                  <c:v>42.577130397333633</c:v>
                </c:pt>
                <c:pt idx="1">
                  <c:v>45.641971161295515</c:v>
                </c:pt>
                <c:pt idx="2">
                  <c:v>59.129413881409512</c:v>
                </c:pt>
                <c:pt idx="3">
                  <c:v>70.214963872933595</c:v>
                </c:pt>
                <c:pt idx="4">
                  <c:v>80.917029594133382</c:v>
                </c:pt>
                <c:pt idx="5">
                  <c:v>94.920812244672803</c:v>
                </c:pt>
                <c:pt idx="6">
                  <c:v>105.57631447132336</c:v>
                </c:pt>
                <c:pt idx="7">
                  <c:v>116.37194637625507</c:v>
                </c:pt>
                <c:pt idx="8">
                  <c:v>130.94319439345239</c:v>
                </c:pt>
                <c:pt idx="9">
                  <c:v>142.23928486266499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3-4DBC-9C0A-46C07937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13400"/>
        <c:axId val="259813008"/>
      </c:scatterChart>
      <c:valAx>
        <c:axId val="25981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13008"/>
        <c:crosses val="autoZero"/>
        <c:crossBetween val="midCat"/>
      </c:valAx>
      <c:valAx>
        <c:axId val="2598130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13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88305917205893"/>
          <c:y val="0.12328815062500749"/>
          <c:w val="0.761107039837842"/>
          <c:h val="0.708678302608683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502642358384447"/>
                  <c:y val="-3.4986791479098854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analys'!$C$54:$L$54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analys'!$C$57:$L$57</c:f>
              <c:numCache>
                <c:formatCode>0.0</c:formatCode>
                <c:ptCount val="10"/>
                <c:pt idx="0">
                  <c:v>222.04711906078251</c:v>
                </c:pt>
                <c:pt idx="1">
                  <c:v>244.40554609037258</c:v>
                </c:pt>
                <c:pt idx="2">
                  <c:v>341.54069127328745</c:v>
                </c:pt>
                <c:pt idx="3">
                  <c:v>420.65583355675994</c:v>
                </c:pt>
                <c:pt idx="4">
                  <c:v>496.54497747481309</c:v>
                </c:pt>
                <c:pt idx="5">
                  <c:v>594.77569000721576</c:v>
                </c:pt>
                <c:pt idx="6">
                  <c:v>668.38578589865574</c:v>
                </c:pt>
                <c:pt idx="7">
                  <c:v>741.72729091500298</c:v>
                </c:pt>
                <c:pt idx="8">
                  <c:v>838.4874803494647</c:v>
                </c:pt>
                <c:pt idx="9">
                  <c:v>911.61653886747706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D-4344-B7AB-89818F75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14184"/>
        <c:axId val="259812224"/>
      </c:scatterChart>
      <c:valAx>
        <c:axId val="25981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12224"/>
        <c:crosses val="autoZero"/>
        <c:crossBetween val="midCat"/>
      </c:valAx>
      <c:valAx>
        <c:axId val="25981222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14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88305917205893"/>
          <c:y val="0.12328815062500749"/>
          <c:w val="0.761107039837842"/>
          <c:h val="0.708678302608683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502642358384447"/>
                  <c:y val="-3.4986791479098854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analys'!$C$27:$L$27</c:f>
            </c:numRef>
          </c:xVal>
          <c:yVal>
            <c:numRef>
              <c:f>'Regional flood frequency analys'!$C$30:$L$30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EF39-4ADC-B654-528F51184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4560"/>
        <c:axId val="112829216"/>
      </c:scatterChart>
      <c:valAx>
        <c:axId val="39440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29216"/>
        <c:crosses val="autoZero"/>
        <c:crossBetween val="midCat"/>
      </c:valAx>
      <c:valAx>
        <c:axId val="1128292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404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/>
            </a:pPr>
            <a:r>
              <a:rPr lang="en-US" sz="1200"/>
              <a:t>Mean Annual Flood (Q2.33) vs Catcment Area </a:t>
            </a:r>
          </a:p>
        </c:rich>
      </c:tx>
      <c:layout>
        <c:manualLayout>
          <c:xMode val="edge"/>
          <c:yMode val="edge"/>
          <c:x val="0.21943000633722989"/>
          <c:y val="7.2976263053871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5402126790312"/>
          <c:y val="5.9200367926562289E-2"/>
          <c:w val="0.80776969861373238"/>
          <c:h val="0.798821038371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analys'!$E$271</c:f>
              <c:strCache>
                <c:ptCount val="1"/>
                <c:pt idx="0">
                  <c:v>Q2.33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4997780339446264E-2"/>
                  <c:y val="4.0834753476913579E-2"/>
                </c:manualLayout>
              </c:layout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'Regional flood frequency analys'!$C$273:$C$276</c:f>
              <c:numCache>
                <c:formatCode>0.0</c:formatCode>
                <c:ptCount val="4"/>
                <c:pt idx="0">
                  <c:v>16396.2</c:v>
                </c:pt>
                <c:pt idx="1">
                  <c:v>391.36</c:v>
                </c:pt>
                <c:pt idx="2">
                  <c:v>148.13999999999999</c:v>
                </c:pt>
                <c:pt idx="3">
                  <c:v>17849.7</c:v>
                </c:pt>
              </c:numCache>
            </c:numRef>
          </c:xVal>
          <c:yVal>
            <c:numRef>
              <c:f>'Regional flood frequency analys'!$E$273:$E$276</c:f>
              <c:numCache>
                <c:formatCode>0.0</c:formatCode>
                <c:ptCount val="4"/>
                <c:pt idx="0">
                  <c:v>1373.2970216638953</c:v>
                </c:pt>
                <c:pt idx="1">
                  <c:v>229.19227819315168</c:v>
                </c:pt>
                <c:pt idx="2">
                  <c:v>45.59637317870736</c:v>
                </c:pt>
                <c:pt idx="3">
                  <c:v>2964.5585453983908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B-41BD-9A5D-21C2CF46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09088"/>
        <c:axId val="259798896"/>
      </c:scatterChart>
      <c:valAx>
        <c:axId val="2598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Catchment Area, km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9798896"/>
        <c:crosses val="autoZero"/>
        <c:crossBetween val="midCat"/>
      </c:valAx>
      <c:valAx>
        <c:axId val="259798896"/>
        <c:scaling>
          <c:orientation val="minMax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Annual Flood, m</a:t>
                </a:r>
                <a:r>
                  <a:rPr lang="en-US" baseline="30000"/>
                  <a:t>3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8.5700982346217924E-3"/>
              <c:y val="0.16483429188257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9809088"/>
        <c:crosses val="autoZero"/>
        <c:crossBetween val="midCat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analys'!$C$193:$L$193</c:f>
            </c:numRef>
          </c:xVal>
          <c:yVal>
            <c:numRef>
              <c:f>'Regional flood frequency analys'!$C$196:$L$196</c:f>
            </c:numRef>
          </c:yVal>
          <c:smooth val="0"/>
          <c:extLst>
            <c:ext xmlns:c16="http://schemas.microsoft.com/office/drawing/2014/chart" uri="{C3380CC4-5D6E-409C-BE32-E72D297353CC}">
              <c16:uniqueId val="{00000000-0673-4F8C-B646-BBBB3978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98504"/>
        <c:axId val="259804776"/>
      </c:scatterChart>
      <c:valAx>
        <c:axId val="25979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4776"/>
        <c:crosses val="autoZero"/>
        <c:crossBetween val="midCat"/>
      </c:valAx>
      <c:valAx>
        <c:axId val="25980477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798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509811273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68122109502217"/>
          <c:y val="0.10502331044235912"/>
          <c:w val="0.75028436786922004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analys'!$A$81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analys'!$C$193:$L$193</c:f>
            </c:numRef>
          </c:xVal>
          <c:yVal>
            <c:numRef>
              <c:f>'Regional flood frequency analys'!$C$195:$L$195</c:f>
            </c:numRef>
          </c:yVal>
          <c:smooth val="0"/>
          <c:extLst>
            <c:ext xmlns:c16="http://schemas.microsoft.com/office/drawing/2014/chart" uri="{C3380CC4-5D6E-409C-BE32-E72D297353CC}">
              <c16:uniqueId val="{00000000-5248-460E-94DA-4E0D370A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07912"/>
        <c:axId val="259801248"/>
      </c:scatterChart>
      <c:valAx>
        <c:axId val="25980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1248"/>
        <c:crosses val="autoZero"/>
        <c:crossBetween val="midCat"/>
      </c:valAx>
      <c:valAx>
        <c:axId val="2598012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7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analys'!$A$55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analys'!$C$193:$L$193</c:f>
            </c:numRef>
          </c:xVal>
          <c:yVal>
            <c:numRef>
              <c:f>'Regional flood frequency analys'!$C$194:$L$194</c:f>
            </c:numRef>
          </c:yVal>
          <c:smooth val="0"/>
          <c:extLst>
            <c:ext xmlns:c16="http://schemas.microsoft.com/office/drawing/2014/chart" uri="{C3380CC4-5D6E-409C-BE32-E72D297353CC}">
              <c16:uniqueId val="{00000000-586D-44C0-B728-F6F96EC5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07128"/>
        <c:axId val="259803208"/>
      </c:scatterChart>
      <c:valAx>
        <c:axId val="25980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3208"/>
        <c:crosses val="autoZero"/>
        <c:crossBetween val="midCat"/>
      </c:valAx>
      <c:valAx>
        <c:axId val="25980320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7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analys'!$C$147:$L$147</c:f>
            </c:numRef>
          </c:xVal>
          <c:yVal>
            <c:numRef>
              <c:f>'Regional flood frequency analys'!$C$150:$L$150</c:f>
            </c:numRef>
          </c:yVal>
          <c:smooth val="0"/>
          <c:extLst>
            <c:ext xmlns:c16="http://schemas.microsoft.com/office/drawing/2014/chart" uri="{C3380CC4-5D6E-409C-BE32-E72D297353CC}">
              <c16:uniqueId val="{00000000-6484-4B63-9B6C-B04820C2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05168"/>
        <c:axId val="259804384"/>
      </c:scatterChart>
      <c:valAx>
        <c:axId val="25980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4384"/>
        <c:crosses val="autoZero"/>
        <c:crossBetween val="midCat"/>
      </c:valAx>
      <c:valAx>
        <c:axId val="2598043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5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2131124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14636397662982"/>
          <c:y val="0.10502331044235912"/>
          <c:w val="0.75681922192516871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analys'!$A$81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analys'!$C$147:$L$147</c:f>
            </c:numRef>
          </c:xVal>
          <c:yVal>
            <c:numRef>
              <c:f>'Regional flood frequency analys'!$C$149:$L$149</c:f>
            </c:numRef>
          </c:yVal>
          <c:smooth val="0"/>
          <c:extLst>
            <c:ext xmlns:c16="http://schemas.microsoft.com/office/drawing/2014/chart" uri="{C3380CC4-5D6E-409C-BE32-E72D297353CC}">
              <c16:uniqueId val="{00000000-A0EA-4B22-B80D-B249DB55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07520"/>
        <c:axId val="259803600"/>
      </c:scatterChart>
      <c:valAx>
        <c:axId val="2598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3600"/>
        <c:crosses val="autoZero"/>
        <c:crossBetween val="midCat"/>
      </c:valAx>
      <c:valAx>
        <c:axId val="2598036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7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analys'!$A$55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analys'!$C$147:$L$147</c:f>
            </c:numRef>
          </c:xVal>
          <c:yVal>
            <c:numRef>
              <c:f>'Regional flood frequency analys'!$C$148:$L$148</c:f>
            </c:numRef>
          </c:yVal>
          <c:smooth val="0"/>
          <c:extLst>
            <c:ext xmlns:c16="http://schemas.microsoft.com/office/drawing/2014/chart" uri="{C3380CC4-5D6E-409C-BE32-E72D297353CC}">
              <c16:uniqueId val="{00000000-42F5-4B44-B9BA-C2E20EA7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06736"/>
        <c:axId val="259805952"/>
      </c:scatterChart>
      <c:valAx>
        <c:axId val="25980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5952"/>
        <c:crosses val="autoZero"/>
        <c:crossBetween val="midCat"/>
      </c:valAx>
      <c:valAx>
        <c:axId val="2598059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6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/>
            </a:pPr>
            <a:r>
              <a:rPr lang="en-US" sz="1200"/>
              <a:t>Median Flood</a:t>
            </a:r>
            <a:r>
              <a:rPr lang="en-US" sz="1200" baseline="0"/>
              <a:t> Ratio</a:t>
            </a:r>
            <a:r>
              <a:rPr lang="en-US" sz="1200"/>
              <a:t> vs. Return Period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43870000290861"/>
          <c:y val="0.13196555326206746"/>
          <c:w val="0.83787977536925862"/>
          <c:h val="0.775782314821266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2222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43654053150242"/>
                  <c:y val="3.568825253317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'Regional flood frequency analys'!$B$292:$L$292</c:f>
              <c:numCache>
                <c:formatCode>0.0</c:formatCode>
                <c:ptCount val="11"/>
                <c:pt idx="0">
                  <c:v>0.3010299956639812</c:v>
                </c:pt>
                <c:pt idx="1">
                  <c:v>0.69897000433601886</c:v>
                </c:pt>
                <c:pt idx="2">
                  <c:v>1</c:v>
                </c:pt>
                <c:pt idx="3">
                  <c:v>1.3010299956639813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'Regional flood frequency analys'!$B$293:$L$293</c:f>
              <c:numCache>
                <c:formatCode>0.00</c:formatCode>
                <c:ptCount val="11"/>
                <c:pt idx="0">
                  <c:v>-2.5550033797450244E-2</c:v>
                </c:pt>
                <c:pt idx="1">
                  <c:v>9.7553482364753752E-2</c:v>
                </c:pt>
                <c:pt idx="2">
                  <c:v>0.16458008521417153</c:v>
                </c:pt>
                <c:pt idx="3">
                  <c:v>0.22127394352010302</c:v>
                </c:pt>
                <c:pt idx="4">
                  <c:v>0.28639142863104394</c:v>
                </c:pt>
                <c:pt idx="5">
                  <c:v>0.33047281974944342</c:v>
                </c:pt>
                <c:pt idx="6">
                  <c:v>0.37121954205565516</c:v>
                </c:pt>
                <c:pt idx="7">
                  <c:v>0.42105122040390719</c:v>
                </c:pt>
                <c:pt idx="8">
                  <c:v>0.45627358121952005</c:v>
                </c:pt>
                <c:pt idx="9">
                  <c:v>0.53167742107126414</c:v>
                </c:pt>
                <c:pt idx="10">
                  <c:v>0.56193440647956039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B-400B-91DF-930F32DA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99680"/>
        <c:axId val="259808304"/>
      </c:scatterChart>
      <c:valAx>
        <c:axId val="2597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Return Period</a:t>
                </a:r>
              </a:p>
            </c:rich>
          </c:tx>
          <c:layout>
            <c:manualLayout>
              <c:xMode val="edge"/>
              <c:yMode val="edge"/>
              <c:x val="0.47467496302297046"/>
              <c:y val="0.93252651383178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9808304"/>
        <c:crosses val="autoZero"/>
        <c:crossBetween val="midCat"/>
      </c:valAx>
      <c:valAx>
        <c:axId val="2598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Median Flood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9799680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Median Flood Ratio vs. Return Period</a:t>
            </a:r>
          </a:p>
        </c:rich>
      </c:tx>
      <c:layout>
        <c:manualLayout>
          <c:xMode val="edge"/>
          <c:yMode val="edge"/>
          <c:x val="0.25069282139809601"/>
          <c:y val="1.24223642987118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44799180482645"/>
          <c:y val="8.9381092499136977E-2"/>
          <c:w val="0.81281687846973072"/>
          <c:h val="0.76469284763204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analys'!$A$288</c:f>
              <c:strCache>
                <c:ptCount val="1"/>
                <c:pt idx="0">
                  <c:v>Median Flood Ratio (MFR)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8"/>
            <c:spPr>
              <a:solidFill>
                <a:schemeClr val="bg1"/>
              </a:solidFill>
              <a:ln w="6350">
                <a:solidFill>
                  <a:schemeClr val="tx1"/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'Regional flood frequency analys'!$B$292:$L$292</c:f>
              <c:numCache>
                <c:formatCode>0.0</c:formatCode>
                <c:ptCount val="11"/>
                <c:pt idx="0">
                  <c:v>0.3010299956639812</c:v>
                </c:pt>
                <c:pt idx="1">
                  <c:v>0.69897000433601886</c:v>
                </c:pt>
                <c:pt idx="2">
                  <c:v>1</c:v>
                </c:pt>
                <c:pt idx="3">
                  <c:v>1.3010299956639813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'Regional flood frequency analys'!$B$293:$L$293</c:f>
              <c:numCache>
                <c:formatCode>0.00</c:formatCode>
                <c:ptCount val="11"/>
                <c:pt idx="0">
                  <c:v>-2.5550033797450244E-2</c:v>
                </c:pt>
                <c:pt idx="1">
                  <c:v>9.7553482364753752E-2</c:v>
                </c:pt>
                <c:pt idx="2">
                  <c:v>0.16458008521417153</c:v>
                </c:pt>
                <c:pt idx="3">
                  <c:v>0.22127394352010302</c:v>
                </c:pt>
                <c:pt idx="4">
                  <c:v>0.28639142863104394</c:v>
                </c:pt>
                <c:pt idx="5">
                  <c:v>0.33047281974944342</c:v>
                </c:pt>
                <c:pt idx="6">
                  <c:v>0.37121954205565516</c:v>
                </c:pt>
                <c:pt idx="7">
                  <c:v>0.42105122040390719</c:v>
                </c:pt>
                <c:pt idx="8">
                  <c:v>0.45627358121952005</c:v>
                </c:pt>
                <c:pt idx="9">
                  <c:v>0.53167742107126414</c:v>
                </c:pt>
                <c:pt idx="10">
                  <c:v>0.56193440647956039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5A4-9380-14EA7ECC8116}"/>
            </c:ext>
          </c:extLst>
        </c:ser>
        <c:ser>
          <c:idx val="1"/>
          <c:order val="1"/>
          <c:tx>
            <c:strRef>
              <c:f>'Regional flood frequency analys'!$A$294</c:f>
              <c:strCache>
                <c:ptCount val="1"/>
                <c:pt idx="0">
                  <c:v>Uwa Gaon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'Regional flood frequency analys'!$B$292:$L$292</c:f>
              <c:numCache>
                <c:formatCode>0.0</c:formatCode>
                <c:ptCount val="11"/>
                <c:pt idx="0">
                  <c:v>0.3010299956639812</c:v>
                </c:pt>
                <c:pt idx="1">
                  <c:v>0.69897000433601886</c:v>
                </c:pt>
                <c:pt idx="2">
                  <c:v>1</c:v>
                </c:pt>
                <c:pt idx="3">
                  <c:v>1.3010299956639813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'Regional flood frequency analys'!$B$294:$L$294</c:f>
              <c:numCache>
                <c:formatCode>0.00</c:formatCode>
                <c:ptCount val="11"/>
                <c:pt idx="0">
                  <c:v>-1.2726517049813185E-2</c:v>
                </c:pt>
                <c:pt idx="1">
                  <c:v>5.1330888875790161E-2</c:v>
                </c:pt>
                <c:pt idx="2">
                  <c:v>8.9074283612188207E-2</c:v>
                </c:pt>
                <c:pt idx="3">
                  <c:v>0.12243525658072565</c:v>
                </c:pt>
                <c:pt idx="4">
                  <c:v>0.16213009636276909</c:v>
                </c:pt>
                <c:pt idx="5">
                  <c:v>0.18966525399995504</c:v>
                </c:pt>
                <c:pt idx="6">
                  <c:v>0.21546649954794936</c:v>
                </c:pt>
                <c:pt idx="7">
                  <c:v>0.24731784670725451</c:v>
                </c:pt>
                <c:pt idx="8">
                  <c:v>0.2699297808752803</c:v>
                </c:pt>
                <c:pt idx="9">
                  <c:v>0.31827222187169057</c:v>
                </c:pt>
                <c:pt idx="10">
                  <c:v>0.33753804680793353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7-45A4-9380-14EA7ECC8116}"/>
            </c:ext>
          </c:extLst>
        </c:ser>
        <c:ser>
          <c:idx val="2"/>
          <c:order val="2"/>
          <c:tx>
            <c:strRef>
              <c:f>'Regional flood frequency analys'!$A$295</c:f>
              <c:strCache>
                <c:ptCount val="1"/>
                <c:pt idx="0">
                  <c:v>Sabhaya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'Regional flood frequency analys'!$B$292:$L$292</c:f>
              <c:numCache>
                <c:formatCode>0.0</c:formatCode>
                <c:ptCount val="11"/>
                <c:pt idx="0">
                  <c:v>0.3010299956639812</c:v>
                </c:pt>
                <c:pt idx="1">
                  <c:v>0.69897000433601886</c:v>
                </c:pt>
                <c:pt idx="2">
                  <c:v>1</c:v>
                </c:pt>
                <c:pt idx="3">
                  <c:v>1.3010299956639813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'Regional flood frequency analys'!$B$295:$L$295</c:f>
              <c:numCache>
                <c:formatCode>0.00</c:formatCode>
                <c:ptCount val="11"/>
                <c:pt idx="0">
                  <c:v>-4.062942506061084E-2</c:v>
                </c:pt>
                <c:pt idx="1">
                  <c:v>0.15648998901426595</c:v>
                </c:pt>
                <c:pt idx="2">
                  <c:v>0.26492098189861119</c:v>
                </c:pt>
                <c:pt idx="3">
                  <c:v>0.3572392673496595</c:v>
                </c:pt>
                <c:pt idx="4">
                  <c:v>0.46418609626345936</c:v>
                </c:pt>
                <c:pt idx="5">
                  <c:v>0.53730115090094377</c:v>
                </c:pt>
                <c:pt idx="6">
                  <c:v>0.60550659415717834</c:v>
                </c:pt>
                <c:pt idx="7">
                  <c:v>0.68983377338299423</c:v>
                </c:pt>
                <c:pt idx="8">
                  <c:v>0.75009040763834434</c:v>
                </c:pt>
                <c:pt idx="9">
                  <c:v>0.88096544553607958</c:v>
                </c:pt>
                <c:pt idx="10">
                  <c:v>0.93418974675369915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7-45A4-9380-14EA7ECC8116}"/>
            </c:ext>
          </c:extLst>
        </c:ser>
        <c:ser>
          <c:idx val="3"/>
          <c:order val="3"/>
          <c:tx>
            <c:strRef>
              <c:f>'Regional flood frequency analys'!$A$296</c:f>
              <c:strCache>
                <c:ptCount val="1"/>
                <c:pt idx="0">
                  <c:v>Hinwa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'Regional flood frequency analys'!$B$292:$L$292</c:f>
              <c:numCache>
                <c:formatCode>0.0</c:formatCode>
                <c:ptCount val="11"/>
                <c:pt idx="0">
                  <c:v>0.3010299956639812</c:v>
                </c:pt>
                <c:pt idx="1">
                  <c:v>0.69897000433601886</c:v>
                </c:pt>
                <c:pt idx="2">
                  <c:v>1</c:v>
                </c:pt>
                <c:pt idx="3">
                  <c:v>1.3010299956639813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'Regional flood frequency analys'!$B$296:$L$296</c:f>
              <c:numCache>
                <c:formatCode>0.00</c:formatCode>
                <c:ptCount val="11"/>
                <c:pt idx="0">
                  <c:v>-2.6079050728915653E-2</c:v>
                </c:pt>
                <c:pt idx="1">
                  <c:v>9.8021323149821232E-2</c:v>
                </c:pt>
                <c:pt idx="2">
                  <c:v>0.16418403386648395</c:v>
                </c:pt>
                <c:pt idx="3">
                  <c:v>0.21938886820415571</c:v>
                </c:pt>
                <c:pt idx="4">
                  <c:v>0.28178573457764705</c:v>
                </c:pt>
                <c:pt idx="5">
                  <c:v>0.32329162099432301</c:v>
                </c:pt>
                <c:pt idx="6">
                  <c:v>0.36104210250320673</c:v>
                </c:pt>
                <c:pt idx="7">
                  <c:v>0.40630109301708822</c:v>
                </c:pt>
                <c:pt idx="8">
                  <c:v>0.43762730578077313</c:v>
                </c:pt>
                <c:pt idx="9">
                  <c:v>0.50265003540895214</c:v>
                </c:pt>
                <c:pt idx="10">
                  <c:v>0.52790491754953495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7-45A4-9380-14EA7ECC8116}"/>
            </c:ext>
          </c:extLst>
        </c:ser>
        <c:ser>
          <c:idx val="4"/>
          <c:order val="4"/>
          <c:tx>
            <c:strRef>
              <c:f>'Regional flood frequency analys'!$A$297</c:f>
              <c:strCache>
                <c:ptCount val="1"/>
                <c:pt idx="0">
                  <c:v>Turkeghat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'Regional flood frequency analys'!$B$292:$L$292</c:f>
              <c:numCache>
                <c:formatCode>0.0</c:formatCode>
                <c:ptCount val="11"/>
                <c:pt idx="0">
                  <c:v>0.3010299956639812</c:v>
                </c:pt>
                <c:pt idx="1">
                  <c:v>0.69897000433601886</c:v>
                </c:pt>
                <c:pt idx="2">
                  <c:v>1</c:v>
                </c:pt>
                <c:pt idx="3">
                  <c:v>1.3010299956639813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'Regional flood frequency analys'!$B$297:$L$297</c:f>
              <c:numCache>
                <c:formatCode>0.00</c:formatCode>
                <c:ptCount val="11"/>
                <c:pt idx="0">
                  <c:v>-2.5021660481035646E-2</c:v>
                </c:pt>
                <c:pt idx="1">
                  <c:v>9.7085137057832047E-2</c:v>
                </c:pt>
                <c:pt idx="2">
                  <c:v>0.16497577571507541</c:v>
                </c:pt>
                <c:pt idx="3">
                  <c:v>0.22315087192861516</c:v>
                </c:pt>
                <c:pt idx="4">
                  <c:v>0.29094879139288043</c:v>
                </c:pt>
                <c:pt idx="5">
                  <c:v>0.33753720402323595</c:v>
                </c:pt>
                <c:pt idx="6">
                  <c:v>0.38116393021250572</c:v>
                </c:pt>
                <c:pt idx="7">
                  <c:v>0.43531679499470927</c:v>
                </c:pt>
                <c:pt idx="8">
                  <c:v>0.47415213441870679</c:v>
                </c:pt>
                <c:pt idx="9">
                  <c:v>0.55888562916543871</c:v>
                </c:pt>
                <c:pt idx="10">
                  <c:v>0.59349014699101488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7-45A4-9380-14EA7ECC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00072"/>
        <c:axId val="259800464"/>
      </c:scatterChart>
      <c:valAx>
        <c:axId val="259800072"/>
        <c:scaling>
          <c:orientation val="minMax"/>
          <c:max val="4.0999999999999996"/>
          <c:min val="0.2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Return Period</a:t>
                </a:r>
              </a:p>
            </c:rich>
          </c:tx>
          <c:layout>
            <c:manualLayout>
              <c:xMode val="edge"/>
              <c:yMode val="edge"/>
              <c:x val="0.47467496302297046"/>
              <c:y val="0.93252651383178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9800464"/>
        <c:crosses val="autoZero"/>
        <c:crossBetween val="midCat"/>
        <c:majorUnit val="0.4"/>
        <c:minorUnit val="3.0000000000000006E-2"/>
      </c:valAx>
      <c:valAx>
        <c:axId val="259800464"/>
        <c:scaling>
          <c:orientation val="minMax"/>
          <c:max val="1.3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Median Flood Ratio of all stations</a:t>
                </a:r>
              </a:p>
            </c:rich>
          </c:tx>
          <c:layout>
            <c:manualLayout>
              <c:xMode val="edge"/>
              <c:yMode val="edge"/>
              <c:x val="1.4891411418906904E-2"/>
              <c:y val="8.910755675373566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9800072"/>
        <c:crosses val="autoZero"/>
        <c:crossBetween val="midCat"/>
        <c:majorUnit val="0.2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743982640543319"/>
          <c:y val="9.6362500616441735E-2"/>
          <c:w val="0.33728654468320807"/>
          <c:h val="0.15937951071624071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analys'!$A$224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regression analysis'!$B$197:$N$197</c:f>
            </c:numRef>
          </c:xVal>
          <c:yVal>
            <c:numRef>
              <c:f>'Regional regression analysis'!$C$200:$N$200</c:f>
            </c:numRef>
          </c:yVal>
          <c:smooth val="0"/>
          <c:extLst>
            <c:ext xmlns:c16="http://schemas.microsoft.com/office/drawing/2014/chart" uri="{C3380CC4-5D6E-409C-BE32-E72D297353CC}">
              <c16:uniqueId val="{00000000-174C-4A2A-A604-E19517B6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4048"/>
        <c:axId val="556481696"/>
      </c:scatterChart>
      <c:valAx>
        <c:axId val="5564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1696"/>
        <c:crosses val="autoZero"/>
        <c:crossBetween val="midCat"/>
      </c:valAx>
      <c:valAx>
        <c:axId val="5564816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4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57899171383"/>
          <c:y val="2.27920624966127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15286883960222"/>
          <c:y val="0.10502331044235912"/>
          <c:w val="0.79735709131976029"/>
          <c:h val="0.748615914654876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analys'!$A$29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6.7543227378573337E-2"/>
                  <c:y val="-6.5273818264678332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analys'!$C$27:$L$27</c:f>
            </c:numRef>
          </c:xVal>
          <c:yVal>
            <c:numRef>
              <c:f>'Regional flood frequency analys'!$C$29:$L$29</c:f>
            </c:numRef>
          </c:yVal>
          <c:smooth val="0"/>
          <c:extLst>
            <c:ext xmlns:c16="http://schemas.microsoft.com/office/drawing/2014/chart" uri="{C3380CC4-5D6E-409C-BE32-E72D297353CC}">
              <c16:uniqueId val="{00000000-4E93-40AA-9595-1E13F82F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15144"/>
        <c:axId val="338517104"/>
      </c:scatterChart>
      <c:valAx>
        <c:axId val="33851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17104"/>
        <c:crosses val="autoZero"/>
        <c:crossBetween val="midCat"/>
      </c:valAx>
      <c:valAx>
        <c:axId val="3385171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15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509811273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68122109502217"/>
          <c:y val="0.10502331044235912"/>
          <c:w val="0.75028436786922004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analys'!$A$223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analys'!$B$221:$N$221</c:f>
            </c:numRef>
          </c:xVal>
          <c:yVal>
            <c:numRef>
              <c:f>'Regional flood frequency analys'!$B$223:$N$223</c:f>
            </c:numRef>
          </c:yVal>
          <c:smooth val="0"/>
          <c:extLst>
            <c:ext xmlns:c16="http://schemas.microsoft.com/office/drawing/2014/chart" uri="{C3380CC4-5D6E-409C-BE32-E72D297353CC}">
              <c16:uniqueId val="{00000000-D499-4E92-A774-BC80B859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9144"/>
        <c:axId val="556480912"/>
      </c:scatterChart>
      <c:valAx>
        <c:axId val="55648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0912"/>
        <c:crosses val="autoZero"/>
        <c:crossBetween val="midCat"/>
      </c:valAx>
      <c:valAx>
        <c:axId val="5564809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9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analys'!$A$222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analys'!$B$221:$N$221</c:f>
            </c:numRef>
          </c:xVal>
          <c:yVal>
            <c:numRef>
              <c:f>'Regional flood frequency analys'!$B$222:$N$222</c:f>
            </c:numRef>
          </c:yVal>
          <c:smooth val="0"/>
          <c:extLst>
            <c:ext xmlns:c16="http://schemas.microsoft.com/office/drawing/2014/chart" uri="{C3380CC4-5D6E-409C-BE32-E72D297353CC}">
              <c16:uniqueId val="{00000000-3318-4ABE-AE25-F579561E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0712"/>
        <c:axId val="556481304"/>
      </c:scatterChart>
      <c:valAx>
        <c:axId val="55649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1304"/>
        <c:crosses val="autoZero"/>
        <c:crossBetween val="midCat"/>
      </c:valAx>
      <c:valAx>
        <c:axId val="5564813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9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'!$A$14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6503957733961952"/>
                  <c:y val="0.24208735154633138"/>
                </c:manualLayout>
              </c:layout>
              <c:numFmt formatCode="General" sourceLinked="0"/>
            </c:trendlineLbl>
          </c:trendline>
          <c:xVal>
            <c:numRef>
              <c:f>'CAR FFA '!$C$11:$N$11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'CAR FFA '!$C$14:$N$14</c:f>
              <c:numCache>
                <c:formatCode>0.0</c:formatCode>
                <c:ptCount val="12"/>
                <c:pt idx="0">
                  <c:v>222.04711906078251</c:v>
                </c:pt>
                <c:pt idx="1">
                  <c:v>244.40554609037258</c:v>
                </c:pt>
                <c:pt idx="2">
                  <c:v>341.54069127328745</c:v>
                </c:pt>
                <c:pt idx="3">
                  <c:v>420.65583355675994</c:v>
                </c:pt>
                <c:pt idx="4">
                  <c:v>496.54497747481309</c:v>
                </c:pt>
                <c:pt idx="5">
                  <c:v>594.77569000721576</c:v>
                </c:pt>
                <c:pt idx="6">
                  <c:v>668.38578589865574</c:v>
                </c:pt>
                <c:pt idx="7">
                  <c:v>741.72729091500298</c:v>
                </c:pt>
                <c:pt idx="8">
                  <c:v>838.4874803494647</c:v>
                </c:pt>
                <c:pt idx="9">
                  <c:v>911.61653886747706</c:v>
                </c:pt>
                <c:pt idx="10">
                  <c:v>1081.3365962877986</c:v>
                </c:pt>
                <c:pt idx="11">
                  <c:v>1154.4181474272866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6-4639-A619-58D8B02E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78328"/>
        <c:axId val="112830000"/>
      </c:scatterChart>
      <c:valAx>
        <c:axId val="33417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30000"/>
        <c:crosses val="autoZero"/>
        <c:crossBetween val="midCat"/>
      </c:valAx>
      <c:valAx>
        <c:axId val="1128300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178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'!$A$12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6290160781173785"/>
                  <c:y val="0.25282547966296759"/>
                </c:manualLayout>
              </c:layout>
              <c:numFmt formatCode="General" sourceLinked="0"/>
            </c:trendlineLbl>
          </c:trendline>
          <c:xVal>
            <c:numRef>
              <c:f>'CAR FFA '!$C$11:$N$11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'CAR FFA '!$C$12:$N$12</c:f>
              <c:numCache>
                <c:formatCode>0.0</c:formatCode>
                <c:ptCount val="12"/>
                <c:pt idx="0">
                  <c:v>213.15253905200939</c:v>
                </c:pt>
                <c:pt idx="1">
                  <c:v>233.97028877787514</c:v>
                </c:pt>
                <c:pt idx="2">
                  <c:v>331.05281186580021</c:v>
                </c:pt>
                <c:pt idx="3">
                  <c:v>416.81317130861322</c:v>
                </c:pt>
                <c:pt idx="4">
                  <c:v>504.12295393693108</c:v>
                </c:pt>
                <c:pt idx="5">
                  <c:v>624.40916039663659</c:v>
                </c:pt>
                <c:pt idx="6">
                  <c:v>720.1318268818294</c:v>
                </c:pt>
                <c:pt idx="7">
                  <c:v>820.5314170936748</c:v>
                </c:pt>
                <c:pt idx="8">
                  <c:v>961.1266916405807</c:v>
                </c:pt>
                <c:pt idx="9">
                  <c:v>1073.8842560568332</c:v>
                </c:pt>
                <c:pt idx="10">
                  <c:v>1358.7786505301519</c:v>
                </c:pt>
                <c:pt idx="11">
                  <c:v>1492.0930645913115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A-41D3-815F-4C387F7A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7648"/>
        <c:axId val="112828040"/>
      </c:scatterChart>
      <c:valAx>
        <c:axId val="1128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28040"/>
        <c:crosses val="autoZero"/>
        <c:crossBetween val="midCat"/>
      </c:valAx>
      <c:valAx>
        <c:axId val="1128280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27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67532511784118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'!$A$13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739656726408253"/>
                  <c:y val="0.29881639268610555"/>
                </c:manualLayout>
              </c:layout>
              <c:numFmt formatCode="General" sourceLinked="0"/>
            </c:trendlineLbl>
          </c:trendline>
          <c:xVal>
            <c:numRef>
              <c:f>'CAR FFA '!$C$11:$N$11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'CAR FFA '!$C$13:$N$13</c:f>
              <c:numCache>
                <c:formatCode>0.0</c:formatCode>
                <c:ptCount val="12"/>
                <c:pt idx="0">
                  <c:v>208.72311928241675</c:v>
                </c:pt>
                <c:pt idx="1">
                  <c:v>229.19227819315168</c:v>
                </c:pt>
                <c:pt idx="2">
                  <c:v>328.61695761715146</c:v>
                </c:pt>
                <c:pt idx="3">
                  <c:v>421.81397434430409</c:v>
                </c:pt>
                <c:pt idx="4">
                  <c:v>521.7221182634928</c:v>
                </c:pt>
                <c:pt idx="5">
                  <c:v>667.3998086767142</c:v>
                </c:pt>
                <c:pt idx="6">
                  <c:v>789.77090878732395</c:v>
                </c:pt>
                <c:pt idx="7">
                  <c:v>924.07362705970502</c:v>
                </c:pt>
                <c:pt idx="8">
                  <c:v>1122.1056650270341</c:v>
                </c:pt>
                <c:pt idx="9">
                  <c:v>1289.1112224289388</c:v>
                </c:pt>
                <c:pt idx="10">
                  <c:v>1742.4704713500792</c:v>
                </c:pt>
                <c:pt idx="11">
                  <c:v>1969.6530292179168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E-4885-8B6E-5F7041A9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16320"/>
        <c:axId val="338516712"/>
      </c:scatterChart>
      <c:valAx>
        <c:axId val="3385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16712"/>
        <c:crosses val="autoZero"/>
        <c:crossBetween val="midCat"/>
      </c:valAx>
      <c:valAx>
        <c:axId val="3385167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16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89921961233878"/>
          <c:y val="7.7561391581319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'!$A$38</c:f>
              <c:strCache>
                <c:ptCount val="1"/>
                <c:pt idx="0">
                  <c:v>Gumbel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'CAR FFA '!$C$11:$N$11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'CAR FFA '!$C$38:$N$38</c:f>
              <c:numCache>
                <c:formatCode>0.00</c:formatCode>
                <c:ptCount val="12"/>
                <c:pt idx="0">
                  <c:v>42.938933036017502</c:v>
                </c:pt>
                <c:pt idx="1">
                  <c:v>45.59637317870736</c:v>
                </c:pt>
                <c:pt idx="2">
                  <c:v>57.141498143601538</c:v>
                </c:pt>
                <c:pt idx="3">
                  <c:v>66.544832050788926</c:v>
                </c:pt>
                <c:pt idx="4">
                  <c:v>75.564735694963105</c:v>
                </c:pt>
                <c:pt idx="5">
                  <c:v>87.240075752792762</c:v>
                </c:pt>
                <c:pt idx="6">
                  <c:v>95.98910015733955</c:v>
                </c:pt>
                <c:pt idx="7">
                  <c:v>104.70620084147045</c:v>
                </c:pt>
                <c:pt idx="8">
                  <c:v>116.20675994954684</c:v>
                </c:pt>
                <c:pt idx="9">
                  <c:v>124.89861002673202</c:v>
                </c:pt>
                <c:pt idx="10">
                  <c:v>145.07090984959029</c:v>
                </c:pt>
                <c:pt idx="11">
                  <c:v>153.75711337504814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2-494D-A0AE-5DB18064A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1208"/>
        <c:axId val="338521600"/>
      </c:scatterChart>
      <c:valAx>
        <c:axId val="33852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21600"/>
        <c:crosses val="autoZero"/>
        <c:crossBetween val="midCat"/>
      </c:valAx>
      <c:valAx>
        <c:axId val="3385216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21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31704497836149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48037039500348"/>
          <c:y val="7.756145440295141E-2"/>
          <c:w val="0.7245217467656947"/>
          <c:h val="0.8027245397329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'!$A$36</c:f>
              <c:strCache>
                <c:ptCount val="1"/>
                <c:pt idx="0">
                  <c:v>Log normal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6.1354547764063821E-2"/>
                  <c:y val="0.36693907371108958"/>
                </c:manualLayout>
              </c:layout>
              <c:numFmt formatCode="General" sourceLinked="0"/>
            </c:trendlineLbl>
          </c:trendline>
          <c:xVal>
            <c:numRef>
              <c:f>'CAR FFA '!$C$11:$N$11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'CAR FFA '!$C$36:$N$36</c:f>
              <c:numCache>
                <c:formatCode>_(* #,##0.00_);_(* \(#,##0.00\);_(* "-"??_);_(@_)</c:formatCode>
                <c:ptCount val="12"/>
                <c:pt idx="0">
                  <c:v>42.577130397333633</c:v>
                </c:pt>
                <c:pt idx="1">
                  <c:v>45.641971161295515</c:v>
                </c:pt>
                <c:pt idx="2">
                  <c:v>59.129413881409512</c:v>
                </c:pt>
                <c:pt idx="3">
                  <c:v>70.214963872933595</c:v>
                </c:pt>
                <c:pt idx="4">
                  <c:v>80.917029594133382</c:v>
                </c:pt>
                <c:pt idx="5">
                  <c:v>94.920812244672803</c:v>
                </c:pt>
                <c:pt idx="6">
                  <c:v>105.57631447132336</c:v>
                </c:pt>
                <c:pt idx="7">
                  <c:v>116.37194637625507</c:v>
                </c:pt>
                <c:pt idx="8">
                  <c:v>130.94319439345239</c:v>
                </c:pt>
                <c:pt idx="9">
                  <c:v>142.23928486266499</c:v>
                </c:pt>
                <c:pt idx="10">
                  <c:v>169.53026550489457</c:v>
                </c:pt>
                <c:pt idx="11">
                  <c:v>181.78886327982059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454B-9E6B-85A1E380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19248"/>
        <c:axId val="258295384"/>
      </c:scatterChart>
      <c:valAx>
        <c:axId val="33851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5384"/>
        <c:crosses val="autoZero"/>
        <c:crossBetween val="midCat"/>
      </c:valAx>
      <c:valAx>
        <c:axId val="25829538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19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67532511784118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8032110646852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'!$A$37</c:f>
              <c:strCache>
                <c:ptCount val="1"/>
                <c:pt idx="0">
                  <c:v>Log Pearson III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4.2461816898690483E-2"/>
                  <c:y val="0.16887637432714728"/>
                </c:manualLayout>
              </c:layout>
              <c:numFmt formatCode="General" sourceLinked="0"/>
            </c:trendlineLbl>
          </c:trendline>
          <c:xVal>
            <c:numRef>
              <c:f>'CAR FFA '!$B$11:$N$11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2.33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'CAR FFA '!$B$37:$N$37</c:f>
              <c:numCache>
                <c:formatCode>_(* #,##0.00_);_(* \(#,##0.00\);_(* "-"??_);_(@_)</c:formatCode>
                <c:ptCount val="13"/>
                <c:pt idx="0">
                  <c:v>12.825804868029152</c:v>
                </c:pt>
                <c:pt idx="1">
                  <c:v>44.344889420037198</c:v>
                </c:pt>
                <c:pt idx="2">
                  <c:v>47.403206648033475</c:v>
                </c:pt>
                <c:pt idx="3">
                  <c:v>59.4543501119458</c:v>
                </c:pt>
                <c:pt idx="4">
                  <c:v>67.856742666381422</c:v>
                </c:pt>
                <c:pt idx="5">
                  <c:v>74.906371941649638</c:v>
                </c:pt>
                <c:pt idx="6">
                  <c:v>82.836814689646829</c:v>
                </c:pt>
                <c:pt idx="7">
                  <c:v>88.059088017740635</c:v>
                </c:pt>
                <c:pt idx="8">
                  <c:v>92.755247904493885</c:v>
                </c:pt>
                <c:pt idx="9">
                  <c:v>98.298929341233631</c:v>
                </c:pt>
                <c:pt idx="10">
                  <c:v>102.06810674481247</c:v>
                </c:pt>
                <c:pt idx="11">
                  <c:v>109.66579975735466</c:v>
                </c:pt>
                <c:pt idx="12">
                  <c:v>112.51686246532758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4AF9-8524-C9A75E52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3816"/>
        <c:axId val="258296560"/>
      </c:scatterChart>
      <c:valAx>
        <c:axId val="25829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6560"/>
        <c:crosses val="autoZero"/>
        <c:crossBetween val="midCat"/>
      </c:valAx>
      <c:valAx>
        <c:axId val="25829656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3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D19A6"/>
              </a:solidFill>
              <a:ln w="9525">
                <a:solidFill>
                  <a:srgbClr val="AD19A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FC8E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2051837270341207E-2"/>
                  <c:y val="-0.39623323126275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 FFA '!$C$117:$N$117</c:f>
              <c:numCache>
                <c:formatCode>0.00%</c:formatCode>
                <c:ptCount val="12"/>
                <c:pt idx="0">
                  <c:v>0.5</c:v>
                </c:pt>
                <c:pt idx="1">
                  <c:v>0.42918454935622319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2.0000000000000001E-4</c:v>
                </c:pt>
                <c:pt idx="11">
                  <c:v>1E-4</c:v>
                </c:pt>
              </c:numCache>
            </c:numRef>
          </c:xVal>
          <c:yVal>
            <c:numRef>
              <c:f>'CAR FFA '!$C$120:$N$120</c:f>
              <c:numCache>
                <c:formatCode>_(* #,##0.00_);_(* \(#,##0.00\);_(* "-"??_);_(@_)</c:formatCode>
                <c:ptCount val="12"/>
                <c:pt idx="0">
                  <c:v>1366.5075935690597</c:v>
                </c:pt>
                <c:pt idx="1">
                  <c:v>1407.1440752143885</c:v>
                </c:pt>
                <c:pt idx="2">
                  <c:v>1583.6873776174575</c:v>
                </c:pt>
                <c:pt idx="3">
                  <c:v>1727.4792920940479</c:v>
                </c:pt>
                <c:pt idx="4">
                  <c:v>1865.4079486951748</c:v>
                </c:pt>
                <c:pt idx="5">
                  <c:v>2043.9424467413792</c:v>
                </c:pt>
                <c:pt idx="6">
                  <c:v>2177.7289294239326</c:v>
                </c:pt>
                <c:pt idx="7">
                  <c:v>2311.0272477042513</c:v>
                </c:pt>
                <c:pt idx="8">
                  <c:v>2486.8890673549931</c:v>
                </c:pt>
                <c:pt idx="9">
                  <c:v>2619.8012637395823</c:v>
                </c:pt>
                <c:pt idx="10">
                  <c:v>2928.2677756761104</c:v>
                </c:pt>
                <c:pt idx="11">
                  <c:v>3061.0936273141374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C-444F-8DCE-9D0E8E80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9656"/>
        <c:axId val="394407304"/>
      </c:scatterChart>
      <c:valAx>
        <c:axId val="39440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Probabiulity of Exceedance,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94407304"/>
        <c:crosses val="autoZero"/>
        <c:crossBetween val="midCat"/>
      </c:valAx>
      <c:valAx>
        <c:axId val="39440730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Flood Discharge, m3/s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94409656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89921961233878"/>
          <c:y val="7.7561391581319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'!$A$38</c:f>
              <c:strCache>
                <c:ptCount val="1"/>
                <c:pt idx="0">
                  <c:v>Gumbel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'CAR FFA '!$C$59:$N$59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'CAR FFA '!$C$62:$N$62</c:f>
              <c:numCache>
                <c:formatCode>_(* #,##0.00_);_(* \(#,##0.00\);_(* "-"??_);_(@_)</c:formatCode>
                <c:ptCount val="12"/>
                <c:pt idx="0">
                  <c:v>2825.3623019180159</c:v>
                </c:pt>
                <c:pt idx="1">
                  <c:v>2995.3354945597016</c:v>
                </c:pt>
                <c:pt idx="2">
                  <c:v>3733.7761157448676</c:v>
                </c:pt>
                <c:pt idx="3">
                  <c:v>4335.2251041923164</c:v>
                </c:pt>
                <c:pt idx="4">
                  <c:v>4912.1494138284379</c:v>
                </c:pt>
                <c:pt idx="5">
                  <c:v>5658.9187550930619</c:v>
                </c:pt>
                <c:pt idx="6">
                  <c:v>6218.5172900333837</c:v>
                </c:pt>
                <c:pt idx="7">
                  <c:v>6776.0739439194822</c:v>
                </c:pt>
                <c:pt idx="8">
                  <c:v>7511.6640772067476</c:v>
                </c:pt>
                <c:pt idx="9">
                  <c:v>8067.6056707158459</c:v>
                </c:pt>
                <c:pt idx="10">
                  <c:v>9357.851177561377</c:v>
                </c:pt>
                <c:pt idx="11">
                  <c:v>9913.4316105652633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A-4CF3-AD54-42286E08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1208"/>
        <c:axId val="338521600"/>
      </c:scatterChart>
      <c:valAx>
        <c:axId val="33852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21600"/>
        <c:crosses val="autoZero"/>
        <c:crossBetween val="midCat"/>
      </c:valAx>
      <c:valAx>
        <c:axId val="33852160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21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3619244123716"/>
          <c:y val="0.12328815062500749"/>
          <c:w val="0.79805968253023229"/>
          <c:h val="0.67897189017175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analys'!$A$28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2.0124809822501002E-2"/>
                  <c:y val="-8.1027543970796756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analys'!$C$27:$L$27</c:f>
            </c:numRef>
          </c:xVal>
          <c:yVal>
            <c:numRef>
              <c:f>'Regional flood frequency analys'!$C$28:$L$28</c:f>
            </c:numRef>
          </c:yVal>
          <c:smooth val="0"/>
          <c:extLst>
            <c:ext xmlns:c16="http://schemas.microsoft.com/office/drawing/2014/chart" uri="{C3380CC4-5D6E-409C-BE32-E72D297353CC}">
              <c16:uniqueId val="{00000000-3BAB-4517-9066-AAE7C51C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90192"/>
        <c:axId val="383590584"/>
      </c:scatterChart>
      <c:valAx>
        <c:axId val="3835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90584"/>
        <c:crosses val="autoZero"/>
        <c:crossBetween val="midCat"/>
      </c:valAx>
      <c:valAx>
        <c:axId val="38359058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90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31704497836149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48037039500348"/>
          <c:y val="7.756145440295141E-2"/>
          <c:w val="0.7245217467656947"/>
          <c:h val="0.8027245397329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'!$A$36</c:f>
              <c:strCache>
                <c:ptCount val="1"/>
                <c:pt idx="0">
                  <c:v>Log normal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'CAR FFA '!$B$59:$N$59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2.33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'CAR FFA '!$B$60:$N$60</c:f>
              <c:numCache>
                <c:formatCode>_(* #,##0.00_);_(* \(#,##0.00\);_(* "-"??_);_(@_)</c:formatCode>
                <c:ptCount val="13"/>
                <c:pt idx="0">
                  <c:v>1264.0411211807627</c:v>
                </c:pt>
                <c:pt idx="1">
                  <c:v>2843.0881875132391</c:v>
                </c:pt>
                <c:pt idx="2">
                  <c:v>3011.0224291771879</c:v>
                </c:pt>
                <c:pt idx="3">
                  <c:v>3728.5968585209721</c:v>
                </c:pt>
                <c:pt idx="4">
                  <c:v>4296.925608290333</c:v>
                </c:pt>
                <c:pt idx="5">
                  <c:v>4830.8568187083038</c:v>
                </c:pt>
                <c:pt idx="6">
                  <c:v>5511.3377307575402</c:v>
                </c:pt>
                <c:pt idx="7">
                  <c:v>6017.3405872898466</c:v>
                </c:pt>
                <c:pt idx="8">
                  <c:v>6520.9830150438675</c:v>
                </c:pt>
                <c:pt idx="9">
                  <c:v>7188.083843681321</c:v>
                </c:pt>
                <c:pt idx="10">
                  <c:v>7696.3169096009533</c:v>
                </c:pt>
                <c:pt idx="11">
                  <c:v>8896.4682934901903</c:v>
                </c:pt>
                <c:pt idx="12">
                  <c:v>9424.3259575007178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4-4873-87E9-A02CB6BE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19248"/>
        <c:axId val="258295384"/>
      </c:scatterChart>
      <c:valAx>
        <c:axId val="33851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5384"/>
        <c:crosses val="autoZero"/>
        <c:crossBetween val="midCat"/>
      </c:valAx>
      <c:valAx>
        <c:axId val="25829538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19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67532511784118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8032110646852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'!$A$37</c:f>
              <c:strCache>
                <c:ptCount val="1"/>
                <c:pt idx="0">
                  <c:v>Log Pearson III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4.2461816898690483E-2"/>
                  <c:y val="0.16887637432714728"/>
                </c:manualLayout>
              </c:layout>
              <c:numFmt formatCode="General" sourceLinked="0"/>
            </c:trendlineLbl>
          </c:trendline>
          <c:xVal>
            <c:numRef>
              <c:f>'CAR FFA '!$B$59:$N$59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2.33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'CAR FFA '!$B$61:$N$61</c:f>
              <c:numCache>
                <c:formatCode>_(* #,##0.00_);_(* \(#,##0.00\);_(* "-"??_);_(@_)</c:formatCode>
                <c:ptCount val="13"/>
                <c:pt idx="0">
                  <c:v>1374.5939705101855</c:v>
                </c:pt>
                <c:pt idx="1">
                  <c:v>2798.584155022234</c:v>
                </c:pt>
                <c:pt idx="2">
                  <c:v>2964.5585453983908</c:v>
                </c:pt>
                <c:pt idx="3">
                  <c:v>3707.1927614848119</c:v>
                </c:pt>
                <c:pt idx="4">
                  <c:v>4334.4680606506599</c:v>
                </c:pt>
                <c:pt idx="5">
                  <c:v>4955.7672728051257</c:v>
                </c:pt>
                <c:pt idx="6">
                  <c:v>5793.0706203962409</c:v>
                </c:pt>
                <c:pt idx="7">
                  <c:v>6449.0721459088163</c:v>
                </c:pt>
                <c:pt idx="8">
                  <c:v>7130.5653035371224</c:v>
                </c:pt>
                <c:pt idx="9">
                  <c:v>8077.4973906914993</c:v>
                </c:pt>
                <c:pt idx="10">
                  <c:v>8833.080041107647</c:v>
                </c:pt>
                <c:pt idx="11">
                  <c:v>10736.078061451466</c:v>
                </c:pt>
                <c:pt idx="12">
                  <c:v>11626.531655402445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5-42EA-A4EE-2DD44158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3816"/>
        <c:axId val="258296560"/>
      </c:scatterChart>
      <c:valAx>
        <c:axId val="25829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6560"/>
        <c:crosses val="autoZero"/>
        <c:crossBetween val="midCat"/>
      </c:valAx>
      <c:valAx>
        <c:axId val="25829656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3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89921961233878"/>
          <c:y val="7.7561391581319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'!$A$86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'CAR FFA '!$B$83:$N$83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2.33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'CAR FFA '!$C$86:$N$86</c:f>
              <c:numCache>
                <c:formatCode>0.0</c:formatCode>
                <c:ptCount val="12"/>
                <c:pt idx="0">
                  <c:v>1333.6379986843704</c:v>
                </c:pt>
                <c:pt idx="1">
                  <c:v>1373.2970216638953</c:v>
                </c:pt>
                <c:pt idx="2">
                  <c:v>1545.5938004055492</c:v>
                </c:pt>
                <c:pt idx="3">
                  <c:v>1685.92698402782</c:v>
                </c:pt>
                <c:pt idx="4">
                  <c:v>1820.5379429543755</c:v>
                </c:pt>
                <c:pt idx="5">
                  <c:v>1994.778021671088</c:v>
                </c:pt>
                <c:pt idx="6">
                  <c:v>2125.3464413823722</c:v>
                </c:pt>
                <c:pt idx="7">
                  <c:v>2255.4384388626427</c:v>
                </c:pt>
                <c:pt idx="8">
                  <c:v>2427.0701270491995</c:v>
                </c:pt>
                <c:pt idx="9">
                  <c:v>2556.7852903027942</c:v>
                </c:pt>
                <c:pt idx="10">
                  <c:v>2857.8320342625011</c:v>
                </c:pt>
                <c:pt idx="11">
                  <c:v>2987.462929682134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7-496A-AE24-CACC2B98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1208"/>
        <c:axId val="338521600"/>
      </c:scatterChart>
      <c:valAx>
        <c:axId val="33852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21600"/>
        <c:crosses val="autoZero"/>
        <c:crossBetween val="midCat"/>
      </c:valAx>
      <c:valAx>
        <c:axId val="3385216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21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31704497836149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48037039500348"/>
          <c:y val="7.756145440295141E-2"/>
          <c:w val="0.7245217467656947"/>
          <c:h val="0.8027245397329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'!$A$84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'CAR FFA '!$B$83:$N$83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2.33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'CAR FFA '!$B$84:$N$84</c:f>
              <c:numCache>
                <c:formatCode>0.0</c:formatCode>
                <c:ptCount val="13"/>
                <c:pt idx="0">
                  <c:v>858.40324096909444</c:v>
                </c:pt>
                <c:pt idx="1">
                  <c:v>1352.3130563300926</c:v>
                </c:pt>
                <c:pt idx="2">
                  <c:v>1396.5360814671876</c:v>
                </c:pt>
                <c:pt idx="3">
                  <c:v>1574.3583134793946</c:v>
                </c:pt>
                <c:pt idx="4">
                  <c:v>1704.7088299448419</c:v>
                </c:pt>
                <c:pt idx="5">
                  <c:v>1820.4192485747451</c:v>
                </c:pt>
                <c:pt idx="6">
                  <c:v>1960.0285482679385</c:v>
                </c:pt>
                <c:pt idx="7">
                  <c:v>2058.979777402631</c:v>
                </c:pt>
                <c:pt idx="8">
                  <c:v>2153.9002002338152</c:v>
                </c:pt>
                <c:pt idx="9">
                  <c:v>2274.8020077592519</c:v>
                </c:pt>
                <c:pt idx="10">
                  <c:v>2363.6312901426136</c:v>
                </c:pt>
                <c:pt idx="11">
                  <c:v>2563.7033916840105</c:v>
                </c:pt>
                <c:pt idx="12">
                  <c:v>2647.9136411604873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4171-A5F4-2F7E0643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19248"/>
        <c:axId val="258295384"/>
      </c:scatterChart>
      <c:valAx>
        <c:axId val="33851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5384"/>
        <c:crosses val="autoZero"/>
        <c:crossBetween val="midCat"/>
      </c:valAx>
      <c:valAx>
        <c:axId val="2582953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19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67532511784118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8032110646852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'!$A$85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4.2461816898690483E-2"/>
                  <c:y val="0.16887637432714728"/>
                </c:manualLayout>
              </c:layout>
              <c:numFmt formatCode="General" sourceLinked="0"/>
            </c:trendlineLbl>
          </c:trendline>
          <c:xVal>
            <c:numRef>
              <c:f>'CAR FFA '!$B$83:$N$83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2.33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'CAR FFA '!$B$85:$N$85</c:f>
              <c:numCache>
                <c:formatCode>0.0</c:formatCode>
                <c:ptCount val="13"/>
                <c:pt idx="0">
                  <c:v>797.65378680706385</c:v>
                </c:pt>
                <c:pt idx="1">
                  <c:v>1370.9925128635991</c:v>
                </c:pt>
                <c:pt idx="2">
                  <c:v>1414.683721109458</c:v>
                </c:pt>
                <c:pt idx="3">
                  <c:v>1578.2140854157904</c:v>
                </c:pt>
                <c:pt idx="4">
                  <c:v>1686.4433483883608</c:v>
                </c:pt>
                <c:pt idx="5">
                  <c:v>1774.9282537674003</c:v>
                </c:pt>
                <c:pt idx="6">
                  <c:v>1872.9554232804892</c:v>
                </c:pt>
                <c:pt idx="7">
                  <c:v>1937.1025211702602</c:v>
                </c:pt>
                <c:pt idx="8">
                  <c:v>1994.7951853780989</c:v>
                </c:pt>
                <c:pt idx="9">
                  <c:v>2063.2279532432244</c:v>
                </c:pt>
                <c:pt idx="10">
                  <c:v>2110.1564854491958</c:v>
                </c:pt>
                <c:pt idx="11">
                  <c:v>2206.4382310925798</c:v>
                </c:pt>
                <c:pt idx="12">
                  <c:v>2243.4002477403246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F-4124-AA18-A04FBC89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3816"/>
        <c:axId val="258296560"/>
      </c:scatterChart>
      <c:valAx>
        <c:axId val="25829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6560"/>
        <c:crosses val="autoZero"/>
        <c:crossBetween val="midCat"/>
      </c:valAx>
      <c:valAx>
        <c:axId val="25829656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3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89921961233878"/>
          <c:y val="7.7561391581319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'!$A$120</c:f>
              <c:strCache>
                <c:ptCount val="1"/>
                <c:pt idx="0">
                  <c:v>Gumbel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'CAR FFA '!$B$83:$N$83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2.33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'CAR FFA '!$C$120:$N$120</c:f>
              <c:numCache>
                <c:formatCode>_(* #,##0.00_);_(* \(#,##0.00\);_(* "-"??_);_(@_)</c:formatCode>
                <c:ptCount val="12"/>
                <c:pt idx="0">
                  <c:v>1366.5075935690597</c:v>
                </c:pt>
                <c:pt idx="1">
                  <c:v>1407.1440752143885</c:v>
                </c:pt>
                <c:pt idx="2">
                  <c:v>1583.6873776174575</c:v>
                </c:pt>
                <c:pt idx="3">
                  <c:v>1727.4792920940479</c:v>
                </c:pt>
                <c:pt idx="4">
                  <c:v>1865.4079486951748</c:v>
                </c:pt>
                <c:pt idx="5">
                  <c:v>2043.9424467413792</c:v>
                </c:pt>
                <c:pt idx="6">
                  <c:v>2177.7289294239326</c:v>
                </c:pt>
                <c:pt idx="7">
                  <c:v>2311.0272477042513</c:v>
                </c:pt>
                <c:pt idx="8">
                  <c:v>2486.8890673549931</c:v>
                </c:pt>
                <c:pt idx="9">
                  <c:v>2619.8012637395823</c:v>
                </c:pt>
                <c:pt idx="10">
                  <c:v>2928.2677756761104</c:v>
                </c:pt>
                <c:pt idx="11">
                  <c:v>3061.0936273141374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DA0-8135-B4E3A323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1208"/>
        <c:axId val="338521600"/>
      </c:scatterChart>
      <c:valAx>
        <c:axId val="33852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21600"/>
        <c:crosses val="autoZero"/>
        <c:crossBetween val="midCat"/>
      </c:valAx>
      <c:valAx>
        <c:axId val="33852160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21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31704497836149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48037039500348"/>
          <c:y val="7.756145440295141E-2"/>
          <c:w val="0.7245217467656947"/>
          <c:h val="0.8027245397329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'!$A$118</c:f>
              <c:strCache>
                <c:ptCount val="1"/>
                <c:pt idx="0">
                  <c:v>Log normal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'CAR FFA '!$C$83:$N$83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'CAR FFA '!$C$118:$N$118</c:f>
              <c:numCache>
                <c:formatCode>_(* #,##0.00_);_(* \(#,##0.00\);_(* "-"??_);_(@_)</c:formatCode>
                <c:ptCount val="12"/>
                <c:pt idx="0">
                  <c:v>1385.6429272266148</c:v>
                </c:pt>
                <c:pt idx="1">
                  <c:v>1430.9558980028305</c:v>
                </c:pt>
                <c:pt idx="2">
                  <c:v>1613.1608371165887</c:v>
                </c:pt>
                <c:pt idx="3">
                  <c:v>1746.7240459869133</c:v>
                </c:pt>
                <c:pt idx="4">
                  <c:v>1865.2863289068673</c:v>
                </c:pt>
                <c:pt idx="5">
                  <c:v>2008.3365182024697</c:v>
                </c:pt>
                <c:pt idx="6">
                  <c:v>2109.7265551832252</c:v>
                </c:pt>
                <c:pt idx="7">
                  <c:v>2206.9864403331362</c:v>
                </c:pt>
                <c:pt idx="8">
                  <c:v>2330.8680620496116</c:v>
                </c:pt>
                <c:pt idx="9">
                  <c:v>2421.886681066092</c:v>
                </c:pt>
                <c:pt idx="10">
                  <c:v>2626.8898725523477</c:v>
                </c:pt>
                <c:pt idx="11">
                  <c:v>2713.1756153697165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C-40E7-B82C-FA161C11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19248"/>
        <c:axId val="258295384"/>
      </c:scatterChart>
      <c:valAx>
        <c:axId val="33851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5384"/>
        <c:crosses val="autoZero"/>
        <c:crossBetween val="midCat"/>
      </c:valAx>
      <c:valAx>
        <c:axId val="25829538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519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67532511784118"/>
          <c:y val="8.9613733057624101E-3"/>
        </c:manualLayout>
      </c:layout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8032110646852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FFA '!$A$119</c:f>
              <c:strCache>
                <c:ptCount val="1"/>
                <c:pt idx="0">
                  <c:v>Log Pearson III (m3/s)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4.2461816898690483E-2"/>
                  <c:y val="0.16887637432714728"/>
                </c:manualLayout>
              </c:layout>
              <c:numFmt formatCode="General" sourceLinked="0"/>
            </c:trendlineLbl>
          </c:trendline>
          <c:xVal>
            <c:numRef>
              <c:f>'CAR FFA '!$C$83:$N$83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'CAR FFA '!$C$119:$N$119</c:f>
              <c:numCache>
                <c:formatCode>_(* #,##0.00_);_(* \(#,##0.00\);_(* "-"??_);_(@_)</c:formatCode>
                <c:ptCount val="12"/>
                <c:pt idx="0">
                  <c:v>1404.7827681894253</c:v>
                </c:pt>
                <c:pt idx="1">
                  <c:v>1449.5508146151205</c:v>
                </c:pt>
                <c:pt idx="2">
                  <c:v>1617.111640584511</c:v>
                </c:pt>
                <c:pt idx="3">
                  <c:v>1728.0083830620792</c:v>
                </c:pt>
                <c:pt idx="4">
                  <c:v>1818.674137364206</c:v>
                </c:pt>
                <c:pt idx="5">
                  <c:v>1919.1173398283406</c:v>
                </c:pt>
                <c:pt idx="6">
                  <c:v>1984.8454433003949</c:v>
                </c:pt>
                <c:pt idx="7">
                  <c:v>2043.9600334748011</c:v>
                </c:pt>
                <c:pt idx="8">
                  <c:v>2114.0794339634599</c:v>
                </c:pt>
                <c:pt idx="9">
                  <c:v>2162.164593262889</c:v>
                </c:pt>
                <c:pt idx="10">
                  <c:v>2260.8193531554252</c:v>
                </c:pt>
                <c:pt idx="11">
                  <c:v>2298.6923565286015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D-497F-89A1-6E633B1C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3816"/>
        <c:axId val="258296560"/>
      </c:scatterChart>
      <c:valAx>
        <c:axId val="25829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6560"/>
        <c:crosses val="autoZero"/>
        <c:crossBetween val="midCat"/>
      </c:valAx>
      <c:valAx>
        <c:axId val="25829656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3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88305917205893"/>
          <c:y val="0.12328815062500749"/>
          <c:w val="0.761107039837842"/>
          <c:h val="0.708678302608683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502642358384447"/>
                  <c:y val="-3.4986791479098854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analys'!$C$27:$L$27</c:f>
            </c:numRef>
          </c:xVal>
          <c:yVal>
            <c:numRef>
              <c:f>'Regional flood frequency analys'!$C$30:$L$30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66FD-4E23-A624-0040943F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08696"/>
        <c:axId val="259803992"/>
      </c:scatterChart>
      <c:valAx>
        <c:axId val="25980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3992"/>
        <c:crosses val="autoZero"/>
        <c:crossBetween val="midCat"/>
      </c:valAx>
      <c:valAx>
        <c:axId val="2598039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08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57899171383"/>
          <c:y val="2.27920624966127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15286883960222"/>
          <c:y val="0.10502331044235912"/>
          <c:w val="0.79735709131976029"/>
          <c:h val="0.748615914654876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analys'!$A$29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6.7543227378573337E-2"/>
                  <c:y val="-6.5273818264678332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analys'!$C$27:$L$27</c:f>
            </c:numRef>
          </c:xVal>
          <c:yVal>
            <c:numRef>
              <c:f>'Regional flood frequency analys'!$C$29:$L$29</c:f>
            </c:numRef>
          </c:yVal>
          <c:smooth val="0"/>
          <c:extLst>
            <c:ext xmlns:c16="http://schemas.microsoft.com/office/drawing/2014/chart" uri="{C3380CC4-5D6E-409C-BE32-E72D297353CC}">
              <c16:uniqueId val="{00000000-7F70-401E-B25D-4133819D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10264"/>
        <c:axId val="259810656"/>
      </c:scatterChart>
      <c:valAx>
        <c:axId val="25981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10656"/>
        <c:crosses val="autoZero"/>
        <c:crossBetween val="midCat"/>
      </c:valAx>
      <c:valAx>
        <c:axId val="2598106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10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61404673815"/>
          <c:y val="2.27920566532956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82393292548277"/>
          <c:y val="0.10502331044235912"/>
          <c:w val="0.79414162985605441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analys'!$A$56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083317676396741"/>
                  <c:y val="-5.171633288604198E-3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analys'!$C$54:$L$54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analys'!$C$56:$L$56</c:f>
              <c:numCache>
                <c:formatCode>0.0</c:formatCode>
                <c:ptCount val="10"/>
                <c:pt idx="0">
                  <c:v>208.72311928241675</c:v>
                </c:pt>
                <c:pt idx="1">
                  <c:v>229.19227819315168</c:v>
                </c:pt>
                <c:pt idx="2">
                  <c:v>328.61695761715146</c:v>
                </c:pt>
                <c:pt idx="3">
                  <c:v>421.81397434430409</c:v>
                </c:pt>
                <c:pt idx="4">
                  <c:v>521.7221182634928</c:v>
                </c:pt>
                <c:pt idx="5">
                  <c:v>667.3998086767142</c:v>
                </c:pt>
                <c:pt idx="6">
                  <c:v>789.77090878732395</c:v>
                </c:pt>
                <c:pt idx="7">
                  <c:v>924.07362705970502</c:v>
                </c:pt>
                <c:pt idx="8">
                  <c:v>1122.1056650270341</c:v>
                </c:pt>
                <c:pt idx="9">
                  <c:v>1289.1112224289388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1-41FF-9AEF-40EE47815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87840"/>
        <c:axId val="383590976"/>
      </c:scatterChart>
      <c:valAx>
        <c:axId val="3835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90976"/>
        <c:crosses val="autoZero"/>
        <c:crossBetween val="midCat"/>
      </c:valAx>
      <c:valAx>
        <c:axId val="38359097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87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3619244123716"/>
          <c:y val="0.12328815062500749"/>
          <c:w val="0.79805968253023229"/>
          <c:h val="0.67897189017175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analys'!$A$28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2.0124809822501002E-2"/>
                  <c:y val="-8.1027543970796756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analys'!$C$27:$L$27</c:f>
            </c:numRef>
          </c:xVal>
          <c:yVal>
            <c:numRef>
              <c:f>'Regional flood frequency analys'!$C$28:$L$28</c:f>
            </c:numRef>
          </c:yVal>
          <c:smooth val="0"/>
          <c:extLst>
            <c:ext xmlns:c16="http://schemas.microsoft.com/office/drawing/2014/chart" uri="{C3380CC4-5D6E-409C-BE32-E72D297353CC}">
              <c16:uniqueId val="{00000000-1535-4D14-BB95-07F34029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41704"/>
        <c:axId val="387042096"/>
      </c:scatterChart>
      <c:valAx>
        <c:axId val="38704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42096"/>
        <c:crosses val="autoZero"/>
        <c:crossBetween val="midCat"/>
      </c:valAx>
      <c:valAx>
        <c:axId val="38704209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41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61404673815"/>
          <c:y val="2.27920566532956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72962862496418"/>
          <c:y val="0.10502331044235912"/>
          <c:w val="0.66681094384785489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analysis'!$A$60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3059534011401264"/>
                  <c:y val="0.13834256062840469"/>
                </c:manualLayout>
              </c:layout>
              <c:numFmt formatCode="General" sourceLinked="0"/>
            </c:trendlineLbl>
          </c:trendline>
          <c:xVal>
            <c:numRef>
              <c:f>'Regional regression analysis'!$C$58:$N$58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analysis'!$C$60:$N$60</c:f>
              <c:numCache>
                <c:formatCode>0.0</c:formatCode>
                <c:ptCount val="12"/>
                <c:pt idx="0">
                  <c:v>208.72311928241675</c:v>
                </c:pt>
                <c:pt idx="1">
                  <c:v>229.19227819315168</c:v>
                </c:pt>
                <c:pt idx="2">
                  <c:v>328.61695761715146</c:v>
                </c:pt>
                <c:pt idx="3">
                  <c:v>421.81397434430409</c:v>
                </c:pt>
                <c:pt idx="4">
                  <c:v>521.7221182634928</c:v>
                </c:pt>
                <c:pt idx="5">
                  <c:v>667.3998086767142</c:v>
                </c:pt>
                <c:pt idx="6">
                  <c:v>789.77090878732395</c:v>
                </c:pt>
                <c:pt idx="7">
                  <c:v>924.07362705970502</c:v>
                </c:pt>
                <c:pt idx="8">
                  <c:v>1122.1056650270341</c:v>
                </c:pt>
                <c:pt idx="9">
                  <c:v>1289.1112224289388</c:v>
                </c:pt>
                <c:pt idx="10">
                  <c:v>1742.4704713500792</c:v>
                </c:pt>
                <c:pt idx="11">
                  <c:v>1969.6530292179168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4-468B-83B9-18190A7F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42488"/>
        <c:axId val="387042880"/>
      </c:scatterChart>
      <c:valAx>
        <c:axId val="38704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42880"/>
        <c:crosses val="autoZero"/>
        <c:crossBetween val="midCat"/>
      </c:valAx>
      <c:valAx>
        <c:axId val="38704288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42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522214543845"/>
          <c:y val="0.13488231119702118"/>
          <c:w val="0.75079390049697203"/>
          <c:h val="0.7063869087726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analysis'!$A$59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3289460459791211"/>
                  <c:y val="0.10586902254128756"/>
                </c:manualLayout>
              </c:layout>
              <c:numFmt formatCode="General" sourceLinked="0"/>
            </c:trendlineLbl>
          </c:trendline>
          <c:xVal>
            <c:numRef>
              <c:f>'Regional regression analysis'!$C$58:$AB$58</c:f>
              <c:numCache>
                <c:formatCode>General</c:formatCode>
                <c:ptCount val="26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analysis'!$C$59:$AB$59</c:f>
              <c:numCache>
                <c:formatCode>0.0</c:formatCode>
                <c:ptCount val="26"/>
                <c:pt idx="0">
                  <c:v>213.15253905200939</c:v>
                </c:pt>
                <c:pt idx="1">
                  <c:v>233.97028877787514</c:v>
                </c:pt>
                <c:pt idx="2">
                  <c:v>331.05281186580021</c:v>
                </c:pt>
                <c:pt idx="3">
                  <c:v>416.81317130861322</c:v>
                </c:pt>
                <c:pt idx="4">
                  <c:v>504.12295393693108</c:v>
                </c:pt>
                <c:pt idx="5">
                  <c:v>624.40916039663659</c:v>
                </c:pt>
                <c:pt idx="6">
                  <c:v>720.1318268818294</c:v>
                </c:pt>
                <c:pt idx="7">
                  <c:v>820.5314170936748</c:v>
                </c:pt>
                <c:pt idx="8">
                  <c:v>961.1266916405807</c:v>
                </c:pt>
                <c:pt idx="9">
                  <c:v>1073.8842560568332</c:v>
                </c:pt>
                <c:pt idx="10">
                  <c:v>1358.7786505301519</c:v>
                </c:pt>
                <c:pt idx="11">
                  <c:v>1492.0930645913115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8-4089-950B-3F338DED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40136"/>
        <c:axId val="387040920"/>
      </c:scatterChart>
      <c:valAx>
        <c:axId val="3870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40920"/>
        <c:crosses val="autoZero"/>
        <c:crossBetween val="midCat"/>
      </c:valAx>
      <c:valAx>
        <c:axId val="38704092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40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94918418702818"/>
          <c:y val="1.9495811526553195E-2"/>
          <c:w val="0.6956178261222502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analysis'!$A$15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33453180645714331"/>
                  <c:y val="-2.2131641311826312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analysis'!$C$83:$N$83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analysis'!$C$86:$AB$86</c:f>
              <c:numCache>
                <c:formatCode>0.00</c:formatCode>
                <c:ptCount val="26"/>
                <c:pt idx="0">
                  <c:v>42.938933036017502</c:v>
                </c:pt>
                <c:pt idx="1">
                  <c:v>45.59637317870736</c:v>
                </c:pt>
                <c:pt idx="2">
                  <c:v>57.141498143601538</c:v>
                </c:pt>
                <c:pt idx="3">
                  <c:v>66.544832050788926</c:v>
                </c:pt>
                <c:pt idx="4">
                  <c:v>75.564735694963105</c:v>
                </c:pt>
                <c:pt idx="5">
                  <c:v>87.240075752792762</c:v>
                </c:pt>
                <c:pt idx="6">
                  <c:v>95.98910015733955</c:v>
                </c:pt>
                <c:pt idx="7">
                  <c:v>104.70620084147045</c:v>
                </c:pt>
                <c:pt idx="8">
                  <c:v>116.20675994954684</c:v>
                </c:pt>
                <c:pt idx="9">
                  <c:v>124.89861002673202</c:v>
                </c:pt>
                <c:pt idx="10">
                  <c:v>145.07090984959029</c:v>
                </c:pt>
                <c:pt idx="11">
                  <c:v>153.75711337504814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8-4405-B3A9-0474486D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29160"/>
        <c:axId val="387036608"/>
      </c:scatterChart>
      <c:valAx>
        <c:axId val="38702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6608"/>
        <c:crosses val="autoZero"/>
        <c:crossBetween val="midCat"/>
      </c:valAx>
      <c:valAx>
        <c:axId val="3870366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2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73075840582"/>
          <c:y val="2.279212131124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82393292548277"/>
          <c:y val="0.10502331044235912"/>
          <c:w val="0.79414162985605441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analysis'!$A$85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8.5747756731308744E-2"/>
                  <c:y val="-2.0016222036710701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analysis'!$C$83:$N$83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analysis'!$C$85:$N$85</c:f>
              <c:numCache>
                <c:formatCode>0.00</c:formatCode>
                <c:ptCount val="12"/>
                <c:pt idx="0">
                  <c:v>44.344889420037198</c:v>
                </c:pt>
                <c:pt idx="1">
                  <c:v>47.403206648033475</c:v>
                </c:pt>
                <c:pt idx="2">
                  <c:v>59.4543501119458</c:v>
                </c:pt>
                <c:pt idx="3">
                  <c:v>67.856742666381422</c:v>
                </c:pt>
                <c:pt idx="4">
                  <c:v>74.906371941649638</c:v>
                </c:pt>
                <c:pt idx="5">
                  <c:v>82.836814689646829</c:v>
                </c:pt>
                <c:pt idx="6">
                  <c:v>88.059088017740635</c:v>
                </c:pt>
                <c:pt idx="7">
                  <c:v>92.755247904493885</c:v>
                </c:pt>
                <c:pt idx="8">
                  <c:v>98.298929341233631</c:v>
                </c:pt>
                <c:pt idx="9">
                  <c:v>102.06810674481247</c:v>
                </c:pt>
                <c:pt idx="10">
                  <c:v>109.66579975735466</c:v>
                </c:pt>
                <c:pt idx="11">
                  <c:v>112.51686246532758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8-4017-8CB2-CD70B664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4648"/>
        <c:axId val="387035040"/>
      </c:scatterChart>
      <c:valAx>
        <c:axId val="38703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5040"/>
        <c:crosses val="autoZero"/>
        <c:crossBetween val="midCat"/>
      </c:valAx>
      <c:valAx>
        <c:axId val="3870350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4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94918418702818"/>
          <c:y val="1.9495811526553195E-2"/>
          <c:w val="0.6956178261222502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analysis'!$A$15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7267617652330439"/>
                  <c:y val="0.1940964758046021"/>
                </c:manualLayout>
              </c:layout>
              <c:numFmt formatCode="General" sourceLinked="0"/>
            </c:trendlineLbl>
          </c:trendline>
          <c:xVal>
            <c:numRef>
              <c:f>'Regional regression analysis'!$C$106:$N$106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analysis'!$C$109:$N$109</c:f>
              <c:numCache>
                <c:formatCode>0.0</c:formatCode>
                <c:ptCount val="12"/>
                <c:pt idx="0">
                  <c:v>2825.3623019180159</c:v>
                </c:pt>
                <c:pt idx="1">
                  <c:v>2995.3354945597016</c:v>
                </c:pt>
                <c:pt idx="2">
                  <c:v>3733.7761157448676</c:v>
                </c:pt>
                <c:pt idx="3">
                  <c:v>4335.2251041923164</c:v>
                </c:pt>
                <c:pt idx="4">
                  <c:v>4912.1494138284379</c:v>
                </c:pt>
                <c:pt idx="5">
                  <c:v>5658.9187550930619</c:v>
                </c:pt>
                <c:pt idx="6">
                  <c:v>6218.5172900333837</c:v>
                </c:pt>
                <c:pt idx="7">
                  <c:v>6776.0739439194822</c:v>
                </c:pt>
                <c:pt idx="8">
                  <c:v>7511.6640772067476</c:v>
                </c:pt>
                <c:pt idx="9">
                  <c:v>8067.6056707158459</c:v>
                </c:pt>
                <c:pt idx="10">
                  <c:v>9357.851177561377</c:v>
                </c:pt>
                <c:pt idx="11">
                  <c:v>9913.4316105652633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1D7-B6E8-83DD15CD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1904"/>
        <c:axId val="387029552"/>
      </c:scatterChart>
      <c:valAx>
        <c:axId val="3870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29552"/>
        <c:crosses val="autoZero"/>
        <c:crossBetween val="midCat"/>
      </c:valAx>
      <c:valAx>
        <c:axId val="3870295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1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2131124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82393292548277"/>
          <c:y val="0.10502331044235912"/>
          <c:w val="0.79414162985605441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analysis'!$A$85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'Regional regression analysis'!$C$106:$N$106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analysis'!$C$108:$N$108</c:f>
              <c:numCache>
                <c:formatCode>0.0</c:formatCode>
                <c:ptCount val="12"/>
                <c:pt idx="0">
                  <c:v>2798.584155022234</c:v>
                </c:pt>
                <c:pt idx="1">
                  <c:v>2964.5585453983908</c:v>
                </c:pt>
                <c:pt idx="2">
                  <c:v>3707.1927614848119</c:v>
                </c:pt>
                <c:pt idx="3">
                  <c:v>4334.4680606506599</c:v>
                </c:pt>
                <c:pt idx="4">
                  <c:v>4955.7672728051257</c:v>
                </c:pt>
                <c:pt idx="5">
                  <c:v>5793.0706203962409</c:v>
                </c:pt>
                <c:pt idx="6">
                  <c:v>6449.0721459088163</c:v>
                </c:pt>
                <c:pt idx="7">
                  <c:v>7130.5653035371224</c:v>
                </c:pt>
                <c:pt idx="8">
                  <c:v>8077.4973906914993</c:v>
                </c:pt>
                <c:pt idx="9">
                  <c:v>8833.080041107647</c:v>
                </c:pt>
                <c:pt idx="10">
                  <c:v>10736.078061451466</c:v>
                </c:pt>
                <c:pt idx="11">
                  <c:v>11626.531655402445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4A5A-93E4-40703CB9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29944"/>
        <c:axId val="387031512"/>
      </c:scatterChart>
      <c:valAx>
        <c:axId val="38702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1512"/>
        <c:crosses val="autoZero"/>
        <c:crossBetween val="midCat"/>
      </c:valAx>
      <c:valAx>
        <c:axId val="3870315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29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analysis'!$A$59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293293510724953"/>
                  <c:y val="-2.2804982404802741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analysis'!$C$106:$N$106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analysis'!$C$107:$N$107</c:f>
              <c:numCache>
                <c:formatCode>0.0</c:formatCode>
                <c:ptCount val="12"/>
                <c:pt idx="0">
                  <c:v>2843.0881875132391</c:v>
                </c:pt>
                <c:pt idx="1">
                  <c:v>3011.0224291771879</c:v>
                </c:pt>
                <c:pt idx="2">
                  <c:v>3728.5968585209721</c:v>
                </c:pt>
                <c:pt idx="3">
                  <c:v>4296.925608290333</c:v>
                </c:pt>
                <c:pt idx="4">
                  <c:v>4830.8568187083038</c:v>
                </c:pt>
                <c:pt idx="5">
                  <c:v>5511.3377307575402</c:v>
                </c:pt>
                <c:pt idx="6">
                  <c:v>6017.3405872898466</c:v>
                </c:pt>
                <c:pt idx="7">
                  <c:v>6520.9830150438675</c:v>
                </c:pt>
                <c:pt idx="8">
                  <c:v>7188.083843681321</c:v>
                </c:pt>
                <c:pt idx="9">
                  <c:v>7696.3169096009533</c:v>
                </c:pt>
                <c:pt idx="10">
                  <c:v>8896.4682934901903</c:v>
                </c:pt>
                <c:pt idx="11">
                  <c:v>9424.3259575007178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D-427F-A688-82731C67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5824"/>
        <c:axId val="387032296"/>
      </c:scatterChart>
      <c:valAx>
        <c:axId val="38703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2296"/>
        <c:crosses val="autoZero"/>
        <c:crossBetween val="midCat"/>
      </c:valAx>
      <c:valAx>
        <c:axId val="3870322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5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analysis'!$A$15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regression analysis'!$C$174:$N$174</c:f>
            </c:numRef>
          </c:xVal>
          <c:yVal>
            <c:numRef>
              <c:f>'Regional regression analysis'!$C$177:$N$177</c:f>
            </c:numRef>
          </c:yVal>
          <c:smooth val="0"/>
          <c:extLst>
            <c:ext xmlns:c16="http://schemas.microsoft.com/office/drawing/2014/chart" uri="{C3380CC4-5D6E-409C-BE32-E72D297353CC}">
              <c16:uniqueId val="{00000000-EEFB-49B8-8253-41418FF3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0336"/>
        <c:axId val="387027984"/>
      </c:scatterChart>
      <c:valAx>
        <c:axId val="3870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27984"/>
        <c:crosses val="autoZero"/>
        <c:crossBetween val="midCat"/>
      </c:valAx>
      <c:valAx>
        <c:axId val="3870279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0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2131124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20175118166615"/>
          <c:y val="0.10502331044235912"/>
          <c:w val="0.75776416604279795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analysis'!$A$85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analysis'!$C$174:$N$174</c:f>
            </c:numRef>
          </c:xVal>
          <c:yVal>
            <c:numRef>
              <c:f>'Regional regression analysis'!$C$176:$N$176</c:f>
            </c:numRef>
          </c:yVal>
          <c:smooth val="0"/>
          <c:extLst>
            <c:ext xmlns:c16="http://schemas.microsoft.com/office/drawing/2014/chart" uri="{C3380CC4-5D6E-409C-BE32-E72D297353CC}">
              <c16:uniqueId val="{00000000-3015-472D-8D8C-1E251EB7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8176"/>
        <c:axId val="387037000"/>
      </c:scatterChart>
      <c:valAx>
        <c:axId val="3870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7000"/>
        <c:crosses val="autoZero"/>
        <c:crossBetween val="midCat"/>
      </c:valAx>
      <c:valAx>
        <c:axId val="3870370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8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7346974661612"/>
          <c:y val="0.13488231119702118"/>
          <c:w val="0.78667295337187559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analys'!$A$55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519743760843453"/>
                  <c:y val="-3.1334157942900814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analys'!$C$54:$L$54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analys'!$C$55:$L$55</c:f>
              <c:numCache>
                <c:formatCode>0.0</c:formatCode>
                <c:ptCount val="10"/>
                <c:pt idx="0">
                  <c:v>213.15253905200939</c:v>
                </c:pt>
                <c:pt idx="1">
                  <c:v>233.97028877787514</c:v>
                </c:pt>
                <c:pt idx="2">
                  <c:v>331.05281186580021</c:v>
                </c:pt>
                <c:pt idx="3">
                  <c:v>416.81317130861322</c:v>
                </c:pt>
                <c:pt idx="4">
                  <c:v>504.12295393693108</c:v>
                </c:pt>
                <c:pt idx="5">
                  <c:v>624.40916039663659</c:v>
                </c:pt>
                <c:pt idx="6">
                  <c:v>720.1318268818294</c:v>
                </c:pt>
                <c:pt idx="7">
                  <c:v>820.5314170936748</c:v>
                </c:pt>
                <c:pt idx="8">
                  <c:v>961.1266916405807</c:v>
                </c:pt>
                <c:pt idx="9">
                  <c:v>1073.8842560568332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2-45D8-A244-5D155D64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88624"/>
        <c:axId val="383587448"/>
      </c:scatterChart>
      <c:valAx>
        <c:axId val="38358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87448"/>
        <c:crosses val="autoZero"/>
        <c:crossBetween val="midCat"/>
      </c:valAx>
      <c:valAx>
        <c:axId val="3835874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88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analysis'!$A$59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analysis'!$C$174:$AB$174</c:f>
            </c:numRef>
          </c:xVal>
          <c:yVal>
            <c:numRef>
              <c:f>'Regional regression analysis'!$C$175:$N$175</c:f>
            </c:numRef>
          </c:yVal>
          <c:smooth val="0"/>
          <c:extLst>
            <c:ext xmlns:c16="http://schemas.microsoft.com/office/drawing/2014/chart" uri="{C3380CC4-5D6E-409C-BE32-E72D297353CC}">
              <c16:uniqueId val="{00000000-921F-412F-8ECF-D55F0D8F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3864"/>
        <c:axId val="387037392"/>
      </c:scatterChart>
      <c:valAx>
        <c:axId val="38703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7392"/>
        <c:crosses val="autoZero"/>
        <c:crossBetween val="midCat"/>
      </c:valAx>
      <c:valAx>
        <c:axId val="38703739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3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72348024544762"/>
          <c:y val="8.94764608955433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analysis'!$A$15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regression analysis'!$C$129:$N$129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analysis'!$C$132:$N$132</c:f>
              <c:numCache>
                <c:formatCode>0.0</c:formatCode>
                <c:ptCount val="12"/>
                <c:pt idx="0">
                  <c:v>1333.6379986843704</c:v>
                </c:pt>
                <c:pt idx="1">
                  <c:v>1373.2970216638953</c:v>
                </c:pt>
                <c:pt idx="2">
                  <c:v>1545.5938004055492</c:v>
                </c:pt>
                <c:pt idx="3">
                  <c:v>1685.92698402782</c:v>
                </c:pt>
                <c:pt idx="4">
                  <c:v>1820.5379429543755</c:v>
                </c:pt>
                <c:pt idx="5">
                  <c:v>1994.778021671088</c:v>
                </c:pt>
                <c:pt idx="6">
                  <c:v>2125.3464413823722</c:v>
                </c:pt>
                <c:pt idx="7">
                  <c:v>2255.4384388626427</c:v>
                </c:pt>
                <c:pt idx="8">
                  <c:v>2427.0701270491995</c:v>
                </c:pt>
                <c:pt idx="9">
                  <c:v>2556.7852903027942</c:v>
                </c:pt>
                <c:pt idx="10">
                  <c:v>2857.8320342625011</c:v>
                </c:pt>
                <c:pt idx="11">
                  <c:v>2987.462929682134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C-4090-936C-F605C5F8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4256"/>
        <c:axId val="387028376"/>
      </c:scatterChart>
      <c:valAx>
        <c:axId val="38703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28376"/>
        <c:crosses val="autoZero"/>
        <c:crossBetween val="midCat"/>
      </c:valAx>
      <c:valAx>
        <c:axId val="38702837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4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509811273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051556160229952"/>
          <c:y val="0.10502331044235912"/>
          <c:w val="0.7454498799414605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analysis'!$A$85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analysis'!$C$129:$N$129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analysis'!$C$131:$N$131</c:f>
              <c:numCache>
                <c:formatCode>0.0</c:formatCode>
                <c:ptCount val="12"/>
                <c:pt idx="0">
                  <c:v>1370.9925128635991</c:v>
                </c:pt>
                <c:pt idx="1">
                  <c:v>1414.683721109458</c:v>
                </c:pt>
                <c:pt idx="2">
                  <c:v>1578.2140854157904</c:v>
                </c:pt>
                <c:pt idx="3">
                  <c:v>1686.4433483883608</c:v>
                </c:pt>
                <c:pt idx="4">
                  <c:v>1774.9282537674003</c:v>
                </c:pt>
                <c:pt idx="5">
                  <c:v>1872.9554232804892</c:v>
                </c:pt>
                <c:pt idx="6">
                  <c:v>1937.1025211702602</c:v>
                </c:pt>
                <c:pt idx="7">
                  <c:v>1994.7951853780989</c:v>
                </c:pt>
                <c:pt idx="8">
                  <c:v>2063.2279532432244</c:v>
                </c:pt>
                <c:pt idx="9">
                  <c:v>2110.1564854491958</c:v>
                </c:pt>
                <c:pt idx="10">
                  <c:v>2206.4382310925798</c:v>
                </c:pt>
                <c:pt idx="11">
                  <c:v>2243.4002477403246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8C4-AD71-AC213F1B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8568"/>
        <c:axId val="387030728"/>
      </c:scatterChart>
      <c:valAx>
        <c:axId val="38703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0728"/>
        <c:crosses val="autoZero"/>
        <c:crossBetween val="midCat"/>
      </c:valAx>
      <c:valAx>
        <c:axId val="3870307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8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analysis'!$A$59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analysis'!$C$129:$N$129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analysis'!$C$130:$N$130</c:f>
              <c:numCache>
                <c:formatCode>0.0</c:formatCode>
                <c:ptCount val="12"/>
                <c:pt idx="0">
                  <c:v>1352.3130563300926</c:v>
                </c:pt>
                <c:pt idx="1">
                  <c:v>1396.5360814671876</c:v>
                </c:pt>
                <c:pt idx="2">
                  <c:v>1574.3583134793946</c:v>
                </c:pt>
                <c:pt idx="3">
                  <c:v>1704.7088299448419</c:v>
                </c:pt>
                <c:pt idx="4">
                  <c:v>1820.4192485747451</c:v>
                </c:pt>
                <c:pt idx="5">
                  <c:v>1960.0285482679385</c:v>
                </c:pt>
                <c:pt idx="6">
                  <c:v>2058.979777402631</c:v>
                </c:pt>
                <c:pt idx="7">
                  <c:v>2153.9002002338152</c:v>
                </c:pt>
                <c:pt idx="8">
                  <c:v>2274.8020077592519</c:v>
                </c:pt>
                <c:pt idx="9">
                  <c:v>2363.6312901426136</c:v>
                </c:pt>
                <c:pt idx="10">
                  <c:v>2563.7033916840105</c:v>
                </c:pt>
                <c:pt idx="11">
                  <c:v>2647.9136411604873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8-4AB4-AC3F-F8572548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9352"/>
        <c:axId val="387027592"/>
      </c:scatterChart>
      <c:valAx>
        <c:axId val="38703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27592"/>
        <c:crosses val="autoZero"/>
        <c:crossBetween val="midCat"/>
      </c:valAx>
      <c:valAx>
        <c:axId val="38702759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039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7346974661612"/>
          <c:y val="0.13488231119702118"/>
          <c:w val="0.78667295337187559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analysis'!$A$84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519743760843453"/>
                  <c:y val="-3.1334157942900814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analysis'!$C$83:$N$83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analysis'!$C$84:$N$84</c:f>
              <c:numCache>
                <c:formatCode>0.0</c:formatCode>
                <c:ptCount val="12"/>
                <c:pt idx="0">
                  <c:v>42.577130397333633</c:v>
                </c:pt>
                <c:pt idx="1">
                  <c:v>45.641971161295515</c:v>
                </c:pt>
                <c:pt idx="2">
                  <c:v>59.129413881409512</c:v>
                </c:pt>
                <c:pt idx="3">
                  <c:v>70.214963872933595</c:v>
                </c:pt>
                <c:pt idx="4">
                  <c:v>80.917029594133382</c:v>
                </c:pt>
                <c:pt idx="5">
                  <c:v>94.920812244672803</c:v>
                </c:pt>
                <c:pt idx="6">
                  <c:v>105.57631447132336</c:v>
                </c:pt>
                <c:pt idx="7">
                  <c:v>116.37194637625507</c:v>
                </c:pt>
                <c:pt idx="8">
                  <c:v>130.94319439345239</c:v>
                </c:pt>
                <c:pt idx="9">
                  <c:v>142.23928486266499</c:v>
                </c:pt>
                <c:pt idx="10">
                  <c:v>169.53026550489457</c:v>
                </c:pt>
                <c:pt idx="11">
                  <c:v>181.78886327982059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1-4046-9FF2-9C274229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7576"/>
        <c:axId val="556483656"/>
      </c:scatterChart>
      <c:valAx>
        <c:axId val="55648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3656"/>
        <c:crosses val="autoZero"/>
        <c:crossBetween val="midCat"/>
      </c:valAx>
      <c:valAx>
        <c:axId val="5564836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7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97538113043024"/>
          <c:y val="0.12328815062500749"/>
          <c:w val="0.73101456280773591"/>
          <c:h val="0.708678302608683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analysis'!$A$15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502642358384447"/>
                  <c:y val="-3.4986791479098854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analysis'!$C$58:$N$58</c:f>
              <c:numCache>
                <c:formatCode>General</c:formatCode>
                <c:ptCount val="12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'Regional regression analysis'!$C$61:$N$61</c:f>
              <c:numCache>
                <c:formatCode>0.0</c:formatCode>
                <c:ptCount val="12"/>
                <c:pt idx="0">
                  <c:v>222.04711906078251</c:v>
                </c:pt>
                <c:pt idx="1">
                  <c:v>244.40554609037258</c:v>
                </c:pt>
                <c:pt idx="2">
                  <c:v>341.54069127328745</c:v>
                </c:pt>
                <c:pt idx="3">
                  <c:v>420.65583355675994</c:v>
                </c:pt>
                <c:pt idx="4">
                  <c:v>496.54497747481309</c:v>
                </c:pt>
                <c:pt idx="5">
                  <c:v>594.77569000721576</c:v>
                </c:pt>
                <c:pt idx="6">
                  <c:v>668.38578589865574</c:v>
                </c:pt>
                <c:pt idx="7">
                  <c:v>741.72729091500298</c:v>
                </c:pt>
                <c:pt idx="8">
                  <c:v>838.4874803494647</c:v>
                </c:pt>
                <c:pt idx="9">
                  <c:v>911.61653886747706</c:v>
                </c:pt>
                <c:pt idx="10">
                  <c:v>1081.3365962877986</c:v>
                </c:pt>
                <c:pt idx="11">
                  <c:v>1154.4181474272866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4-45DE-A015-DDAD783D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4832"/>
        <c:axId val="556489928"/>
      </c:scatterChart>
      <c:valAx>
        <c:axId val="5564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9928"/>
        <c:crosses val="autoZero"/>
        <c:crossBetween val="midCat"/>
      </c:valAx>
      <c:valAx>
        <c:axId val="5564899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4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analysis'!$A$15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regression analysis'!$C$197:$N$197</c:f>
            </c:numRef>
          </c:xVal>
          <c:yVal>
            <c:numRef>
              <c:f>'Regional regression analysis'!$C$200:$N$200</c:f>
            </c:numRef>
          </c:yVal>
          <c:smooth val="0"/>
          <c:extLst>
            <c:ext xmlns:c16="http://schemas.microsoft.com/office/drawing/2014/chart" uri="{C3380CC4-5D6E-409C-BE32-E72D297353CC}">
              <c16:uniqueId val="{00000000-BE11-49B3-A898-281F1486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4048"/>
        <c:axId val="556481696"/>
      </c:scatterChart>
      <c:valAx>
        <c:axId val="5564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1696"/>
        <c:crosses val="autoZero"/>
        <c:crossBetween val="midCat"/>
      </c:valAx>
      <c:valAx>
        <c:axId val="5564816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4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509811273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68122109502217"/>
          <c:y val="0.10502331044235912"/>
          <c:w val="0.75028436786922004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analysis'!$A$85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analysis'!$C$197:$AB$197</c:f>
            </c:numRef>
          </c:xVal>
          <c:yVal>
            <c:numRef>
              <c:f>'Regional regression analysis'!$C$199:$N$199</c:f>
            </c:numRef>
          </c:yVal>
          <c:smooth val="0"/>
          <c:extLst>
            <c:ext xmlns:c16="http://schemas.microsoft.com/office/drawing/2014/chart" uri="{C3380CC4-5D6E-409C-BE32-E72D297353CC}">
              <c16:uniqueId val="{00000000-5198-4E14-A3F9-062EE00E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9144"/>
        <c:axId val="556480912"/>
      </c:scatterChart>
      <c:valAx>
        <c:axId val="55648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0912"/>
        <c:crosses val="autoZero"/>
        <c:crossBetween val="midCat"/>
      </c:valAx>
      <c:valAx>
        <c:axId val="5564809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9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analysis'!$A$59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analysis'!$C$197:$N$197</c:f>
            </c:numRef>
          </c:xVal>
          <c:yVal>
            <c:numRef>
              <c:f>'Regional regression analysis'!$C$198:$N$198</c:f>
            </c:numRef>
          </c:yVal>
          <c:smooth val="0"/>
          <c:extLst>
            <c:ext xmlns:c16="http://schemas.microsoft.com/office/drawing/2014/chart" uri="{C3380CC4-5D6E-409C-BE32-E72D297353CC}">
              <c16:uniqueId val="{00000000-4A30-4C01-A6B7-4243CBBF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0712"/>
        <c:axId val="556481304"/>
      </c:scatterChart>
      <c:valAx>
        <c:axId val="55649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1304"/>
        <c:crosses val="autoZero"/>
        <c:crossBetween val="midCat"/>
      </c:valAx>
      <c:valAx>
        <c:axId val="5564813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9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analysis'!$A$15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regression analysis'!$C$151:$N$151</c:f>
            </c:numRef>
          </c:xVal>
          <c:yVal>
            <c:numRef>
              <c:f>'Regional regression analysis'!$C$154:$N$154</c:f>
            </c:numRef>
          </c:yVal>
          <c:smooth val="0"/>
          <c:extLst>
            <c:ext xmlns:c16="http://schemas.microsoft.com/office/drawing/2014/chart" uri="{C3380CC4-5D6E-409C-BE32-E72D297353CC}">
              <c16:uniqueId val="{00000000-17B8-4F32-AE6C-3D74BC76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2872"/>
        <c:axId val="556488360"/>
      </c:scatterChart>
      <c:valAx>
        <c:axId val="55648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8360"/>
        <c:crosses val="autoZero"/>
        <c:crossBetween val="midCat"/>
      </c:valAx>
      <c:valAx>
        <c:axId val="55648836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2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94918418702818"/>
          <c:y val="1.9495811526553195E-2"/>
          <c:w val="0.6956178261222502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33453180645714331"/>
                  <c:y val="-2.2131641311826312E-2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analys'!$C$79:$L$79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analys'!$C$82:$L$82</c:f>
              <c:numCache>
                <c:formatCode>0.00</c:formatCode>
                <c:ptCount val="10"/>
                <c:pt idx="0">
                  <c:v>42.938933036017502</c:v>
                </c:pt>
                <c:pt idx="1">
                  <c:v>45.59637317870736</c:v>
                </c:pt>
                <c:pt idx="2">
                  <c:v>57.141498143601538</c:v>
                </c:pt>
                <c:pt idx="3">
                  <c:v>66.544832050788926</c:v>
                </c:pt>
                <c:pt idx="4">
                  <c:v>75.564735694963105</c:v>
                </c:pt>
                <c:pt idx="5">
                  <c:v>87.240075752792762</c:v>
                </c:pt>
                <c:pt idx="6">
                  <c:v>95.98910015733955</c:v>
                </c:pt>
                <c:pt idx="7">
                  <c:v>104.70620084147045</c:v>
                </c:pt>
                <c:pt idx="8">
                  <c:v>116.20675994954684</c:v>
                </c:pt>
                <c:pt idx="9">
                  <c:v>124.89861002673202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F-4559-A677-060A1261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85880"/>
        <c:axId val="383586272"/>
      </c:scatterChart>
      <c:valAx>
        <c:axId val="38358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86272"/>
        <c:crosses val="autoZero"/>
        <c:crossBetween val="midCat"/>
      </c:valAx>
      <c:valAx>
        <c:axId val="3835862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85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2131124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14636397662982"/>
          <c:y val="0.10502331044235912"/>
          <c:w val="0.75681922192516871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analysis'!$A$85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analysis'!$C$151:$N$151</c:f>
            </c:numRef>
          </c:xVal>
          <c:yVal>
            <c:numRef>
              <c:f>'Regional regression analysis'!$C$153:$N$153</c:f>
            </c:numRef>
          </c:yVal>
          <c:smooth val="0"/>
          <c:extLst>
            <c:ext xmlns:c16="http://schemas.microsoft.com/office/drawing/2014/chart" uri="{C3380CC4-5D6E-409C-BE32-E72D297353CC}">
              <c16:uniqueId val="{00000000-9C0B-4687-85DD-0A6447F1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78560"/>
        <c:axId val="556483264"/>
      </c:scatterChart>
      <c:valAx>
        <c:axId val="5564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3264"/>
        <c:crosses val="autoZero"/>
        <c:crossBetween val="midCat"/>
      </c:valAx>
      <c:valAx>
        <c:axId val="5564832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78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analysis'!$A$59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regression analysis'!$C$151:$AB$151</c:f>
            </c:numRef>
          </c:xVal>
          <c:yVal>
            <c:numRef>
              <c:f>'Regional regression analysis'!$C$152:$AB$152</c:f>
            </c:numRef>
          </c:yVal>
          <c:smooth val="0"/>
          <c:extLst>
            <c:ext xmlns:c16="http://schemas.microsoft.com/office/drawing/2014/chart" uri="{C3380CC4-5D6E-409C-BE32-E72D297353CC}">
              <c16:uniqueId val="{00000000-4B06-4441-B952-D4AE0459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6008"/>
        <c:axId val="556478952"/>
      </c:scatterChart>
      <c:valAx>
        <c:axId val="55648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78952"/>
        <c:crosses val="autoZero"/>
        <c:crossBetween val="midCat"/>
      </c:valAx>
      <c:valAx>
        <c:axId val="5564789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6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148225705175357"/>
          <c:y val="2.368598722075713E-2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3106657673924"/>
          <c:y val="0.13427418301994473"/>
          <c:w val="0.77791583643792472"/>
          <c:h val="0.705381008687348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analysis'!$D$272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5.2208341897693883E-2"/>
                  <c:y val="-4.900462902521905E-2"/>
                </c:manualLayout>
              </c:layout>
              <c:numFmt formatCode="0.0000000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analysis'!$D$274:$D$277</c:f>
              <c:numCache>
                <c:formatCode>0.0</c:formatCode>
                <c:ptCount val="4"/>
                <c:pt idx="0">
                  <c:v>42.938933036017502</c:v>
                </c:pt>
                <c:pt idx="1">
                  <c:v>208.72311928241675</c:v>
                </c:pt>
                <c:pt idx="2">
                  <c:v>1333.6379986843704</c:v>
                </c:pt>
                <c:pt idx="3">
                  <c:v>2798.584155022234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9-4654-95C3-569EAB31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7968"/>
        <c:axId val="556488752"/>
      </c:scatterChart>
      <c:valAx>
        <c:axId val="556487968"/>
        <c:scaling>
          <c:orientation val="minMax"/>
          <c:max val="2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56488752"/>
        <c:crosses val="autoZero"/>
        <c:crossBetween val="midCat"/>
      </c:valAx>
      <c:valAx>
        <c:axId val="55648875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6487968"/>
        <c:crosses val="autoZero"/>
        <c:crossBetween val="midCat"/>
        <c:majorUnit val="1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133546257777793"/>
          <c:y val="1.4394366092110514E-2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3765623476144"/>
          <c:y val="0.14387024480031674"/>
          <c:w val="0.80015986308033926"/>
          <c:h val="0.673499296880536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analysis'!$E$272</c:f>
              <c:strCache>
                <c:ptCount val="1"/>
                <c:pt idx="0">
                  <c:v>Q2.33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4.691616258855124E-2"/>
                  <c:y val="-6.2985702615902806E-2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rgbClr val="000000"/>
                      </a:solidFill>
                      <a:latin typeface="Gill Sans MT" panose="020B0502020104020203" pitchFamily="34" charset="0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analysis'!$E$274:$E$277</c:f>
              <c:numCache>
                <c:formatCode>0.0</c:formatCode>
                <c:ptCount val="4"/>
                <c:pt idx="0">
                  <c:v>45.59637317870736</c:v>
                </c:pt>
                <c:pt idx="1">
                  <c:v>229.19227819315168</c:v>
                </c:pt>
                <c:pt idx="2">
                  <c:v>1373.2970216638953</c:v>
                </c:pt>
                <c:pt idx="3">
                  <c:v>2964.5585453983908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1-4915-AA5B-7C354BDF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0128"/>
        <c:axId val="556479344"/>
      </c:scatterChart>
      <c:valAx>
        <c:axId val="556480128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6479344"/>
        <c:crosses val="autoZero"/>
        <c:crossBetween val="midCat"/>
      </c:valAx>
      <c:valAx>
        <c:axId val="55647934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6480128"/>
        <c:crosses val="autoZero"/>
        <c:crossBetween val="midCat"/>
        <c:majorUnit val="1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842719838257775"/>
          <c:y val="1.9009590027266862E-2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2955840197394"/>
          <c:y val="0.13427417726630325"/>
          <c:w val="0.82606799956457055"/>
          <c:h val="0.7258520559206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analysis'!$F$272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4.2999300770813528E-2"/>
                  <c:y val="-4.5943355054813475E-3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/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analysis'!$F$274:$F$277</c:f>
              <c:numCache>
                <c:formatCode>0.0</c:formatCode>
                <c:ptCount val="4"/>
                <c:pt idx="0">
                  <c:v>57.141498143601538</c:v>
                </c:pt>
                <c:pt idx="1">
                  <c:v>328.61695761715146</c:v>
                </c:pt>
                <c:pt idx="2">
                  <c:v>1545.5938004055492</c:v>
                </c:pt>
                <c:pt idx="3">
                  <c:v>3707.1927614848119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7-4C5C-AD1E-89D0827D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0520"/>
        <c:axId val="556493848"/>
      </c:scatterChart>
      <c:valAx>
        <c:axId val="556480520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6493848"/>
        <c:crosses val="autoZero"/>
        <c:crossBetween val="midCat"/>
      </c:valAx>
      <c:valAx>
        <c:axId val="55649384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6480520"/>
        <c:crosses val="autoZero"/>
        <c:crossBetween val="midCat"/>
        <c:majorUnit val="1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 algn="ctr">
        <a:defRPr lang="en-US" sz="1050" b="0" i="0" u="none" strike="noStrike" kern="1200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998398237016155"/>
          <c:y val="2.5073059897363581E-2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0720500865045"/>
          <c:y val="0.13427417726630325"/>
          <c:w val="0.80498453598863273"/>
          <c:h val="0.7011776867335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analysis'!$G$272</c:f>
              <c:strCache>
                <c:ptCount val="1"/>
                <c:pt idx="0">
                  <c:v>Q10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0030628890456436"/>
                  <c:y val="-2.0568475722103241E-2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rgbClr val="000000"/>
                      </a:solidFill>
                      <a:latin typeface="Gill Sans MT" panose="020B0502020104020203" pitchFamily="34" charset="0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analysis'!$G$274:$G$277</c:f>
              <c:numCache>
                <c:formatCode>0.0</c:formatCode>
                <c:ptCount val="4"/>
                <c:pt idx="0">
                  <c:v>66.544832050788926</c:v>
                </c:pt>
                <c:pt idx="1">
                  <c:v>421.81397434430409</c:v>
                </c:pt>
                <c:pt idx="2">
                  <c:v>1685.92698402782</c:v>
                </c:pt>
                <c:pt idx="3">
                  <c:v>4334.4680606506599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9-423F-BDE8-3547C490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2280"/>
        <c:axId val="556493456"/>
      </c:scatterChart>
      <c:valAx>
        <c:axId val="556492280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6493456"/>
        <c:crosses val="autoZero"/>
        <c:crossBetween val="midCat"/>
      </c:valAx>
      <c:valAx>
        <c:axId val="5564934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6492280"/>
        <c:crosses val="autoZero"/>
        <c:crossBetween val="midCat"/>
        <c:majorUnit val="1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1300221649408"/>
          <c:y val="0.13427417726630325"/>
          <c:w val="0.79648451709860668"/>
          <c:h val="0.70619231206605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analysis'!$H$272</c:f>
              <c:strCache>
                <c:ptCount val="1"/>
                <c:pt idx="0">
                  <c:v>Q20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numFmt formatCode="0.000000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rgbClr val="000000"/>
                      </a:solidFill>
                      <a:latin typeface="Gill Sans MT" panose="020B0502020104020203" pitchFamily="34" charset="0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analysis'!$H$274:$H$277</c:f>
              <c:numCache>
                <c:formatCode>0.0</c:formatCode>
                <c:ptCount val="4"/>
                <c:pt idx="0">
                  <c:v>75.564735694963105</c:v>
                </c:pt>
                <c:pt idx="1">
                  <c:v>521.7221182634928</c:v>
                </c:pt>
                <c:pt idx="2">
                  <c:v>1820.5379429543755</c:v>
                </c:pt>
                <c:pt idx="3">
                  <c:v>4955.7672728051257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4-4801-A16D-2004C155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4240"/>
        <c:axId val="556491496"/>
      </c:scatterChart>
      <c:valAx>
        <c:axId val="556494240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6491496"/>
        <c:crosses val="autoZero"/>
        <c:crossBetween val="midCat"/>
      </c:valAx>
      <c:valAx>
        <c:axId val="5564914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6494240"/>
        <c:crosses val="autoZero"/>
        <c:crossBetween val="midCat"/>
        <c:majorUnit val="1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061332488140553"/>
          <c:y val="1.5044013478726916E-2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493740701767"/>
          <c:y val="0.13427417726630325"/>
          <c:w val="0.8039481838963678"/>
          <c:h val="0.69114843606866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analysis'!$I$272</c:f>
              <c:strCache>
                <c:ptCount val="1"/>
                <c:pt idx="0">
                  <c:v>Q50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223633258954051E-2"/>
                  <c:y val="-3.0582573531727379E-2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/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analysis'!$I$274:$I$277</c:f>
              <c:numCache>
                <c:formatCode>0.0</c:formatCode>
                <c:ptCount val="4"/>
                <c:pt idx="0">
                  <c:v>87.240075752792762</c:v>
                </c:pt>
                <c:pt idx="1">
                  <c:v>667.3998086767142</c:v>
                </c:pt>
                <c:pt idx="2">
                  <c:v>1994.778021671088</c:v>
                </c:pt>
                <c:pt idx="3">
                  <c:v>5793.0706203962409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3-4311-ADC2-0E11877E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2672"/>
        <c:axId val="557508200"/>
      </c:scatterChart>
      <c:valAx>
        <c:axId val="556492672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7508200"/>
        <c:crosses val="autoZero"/>
        <c:crossBetween val="midCat"/>
      </c:valAx>
      <c:valAx>
        <c:axId val="5575082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6492672"/>
        <c:crosses val="autoZero"/>
        <c:crossBetween val="midCat"/>
        <c:majorUnit val="2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 algn="ctr">
        <a:defRPr lang="en-US" sz="1050" b="0" i="0" u="none" strike="noStrike" kern="1200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95489282514143"/>
          <c:y val="0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1035551534186"/>
          <c:y val="0.1097128945828371"/>
          <c:w val="0.81248717730114162"/>
          <c:h val="0.71970137973208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analysis'!$J$272</c:f>
              <c:strCache>
                <c:ptCount val="1"/>
                <c:pt idx="0">
                  <c:v>Q100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6.0803361124719339E-2"/>
                  <c:y val="-1.6427131726875631E-3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rgbClr val="000000"/>
                      </a:solidFill>
                      <a:latin typeface="Gill Sans MT" panose="020B0502020104020203" pitchFamily="34" charset="0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analysis'!$J$274:$J$277</c:f>
              <c:numCache>
                <c:formatCode>0.0</c:formatCode>
                <c:ptCount val="4"/>
                <c:pt idx="0">
                  <c:v>95.98910015733955</c:v>
                </c:pt>
                <c:pt idx="1">
                  <c:v>789.77090878732395</c:v>
                </c:pt>
                <c:pt idx="2">
                  <c:v>2125.3464413823722</c:v>
                </c:pt>
                <c:pt idx="3">
                  <c:v>6449.0721459088163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3E9-A3F2-9766E05B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6040"/>
        <c:axId val="557514864"/>
      </c:scatterChart>
      <c:valAx>
        <c:axId val="557516040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7514864"/>
        <c:crosses val="autoZero"/>
        <c:crossBetween val="midCat"/>
      </c:valAx>
      <c:valAx>
        <c:axId val="55751486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7516040"/>
        <c:crosses val="autoZero"/>
        <c:crossBetween val="midCat"/>
        <c:majorUnit val="2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3784002607699"/>
          <c:y val="0.13427417726630325"/>
          <c:w val="0.78933834310636308"/>
          <c:h val="0.70631849157335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analysis'!$K$272</c:f>
              <c:strCache>
                <c:ptCount val="1"/>
                <c:pt idx="0">
                  <c:v>Q200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7.5696328283864203E-2"/>
                  <c:y val="-3.5999753927201915E-2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/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analysis'!$K$274:$K$277</c:f>
              <c:numCache>
                <c:formatCode>0.0</c:formatCode>
                <c:ptCount val="4"/>
                <c:pt idx="0">
                  <c:v>104.70620084147045</c:v>
                </c:pt>
                <c:pt idx="1">
                  <c:v>924.07362705970502</c:v>
                </c:pt>
                <c:pt idx="2">
                  <c:v>2255.4384388626427</c:v>
                </c:pt>
                <c:pt idx="3">
                  <c:v>7130.5653035371224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6-402D-8D86-2C60E1D9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7216"/>
        <c:axId val="557512120"/>
      </c:scatterChart>
      <c:valAx>
        <c:axId val="557517216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7512120"/>
        <c:crosses val="autoZero"/>
        <c:crossBetween val="midCat"/>
      </c:valAx>
      <c:valAx>
        <c:axId val="55751212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7517216"/>
        <c:crosses val="autoZero"/>
        <c:crossBetween val="midCat"/>
        <c:majorUnit val="2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 algn="ctr">
        <a:defRPr lang="en-US" sz="1050" b="0" i="0" u="none" strike="noStrike" kern="1200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73075840582"/>
          <c:y val="2.279212131124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82393292548277"/>
          <c:y val="0.10502331044235912"/>
          <c:w val="0.79414162985605441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analys'!$A$81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8.0881868878638907E-2"/>
                  <c:y val="0.26436685820843575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analys'!$C$79:$L$79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analys'!$C$81:$L$81</c:f>
              <c:numCache>
                <c:formatCode>0.00</c:formatCode>
                <c:ptCount val="10"/>
                <c:pt idx="0">
                  <c:v>44.344889420037198</c:v>
                </c:pt>
                <c:pt idx="1">
                  <c:v>47.403206648033475</c:v>
                </c:pt>
                <c:pt idx="2">
                  <c:v>59.4543501119458</c:v>
                </c:pt>
                <c:pt idx="3">
                  <c:v>67.856742666381422</c:v>
                </c:pt>
                <c:pt idx="4">
                  <c:v>74.906371941649638</c:v>
                </c:pt>
                <c:pt idx="5">
                  <c:v>82.836814689646829</c:v>
                </c:pt>
                <c:pt idx="6">
                  <c:v>88.059088017740635</c:v>
                </c:pt>
                <c:pt idx="7">
                  <c:v>92.755247904493885</c:v>
                </c:pt>
                <c:pt idx="8">
                  <c:v>98.298929341233631</c:v>
                </c:pt>
                <c:pt idx="9">
                  <c:v>102.06810674481247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9-4F0D-A392-1820EF72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89408"/>
        <c:axId val="383591368"/>
      </c:scatterChart>
      <c:valAx>
        <c:axId val="3835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91368"/>
        <c:crosses val="autoZero"/>
        <c:crossBetween val="midCat"/>
      </c:valAx>
      <c:valAx>
        <c:axId val="3835913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89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38369975414856"/>
          <c:y val="9.6219957307129185E-3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2456184912369"/>
          <c:y val="0.11503020132321382"/>
          <c:w val="0.82394194274102839"/>
          <c:h val="0.74048000121221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analysis'!$L$272</c:f>
              <c:strCache>
                <c:ptCount val="1"/>
                <c:pt idx="0">
                  <c:v>Q500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7.0633181890083607E-2"/>
                  <c:y val="-3.3243237612154017E-2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/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analysis'!$L$274:$L$277</c:f>
              <c:numCache>
                <c:formatCode>0.0</c:formatCode>
                <c:ptCount val="4"/>
                <c:pt idx="0">
                  <c:v>116.20675994954684</c:v>
                </c:pt>
                <c:pt idx="1">
                  <c:v>1122.1056650270341</c:v>
                </c:pt>
                <c:pt idx="2">
                  <c:v>2427.0701270491995</c:v>
                </c:pt>
                <c:pt idx="3">
                  <c:v>8077.4973906914993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4-4A7C-90D4-58F7E869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0160"/>
        <c:axId val="557510944"/>
      </c:scatterChart>
      <c:valAx>
        <c:axId val="557510160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7510944"/>
        <c:crosses val="autoZero"/>
        <c:crossBetween val="midCat"/>
      </c:valAx>
      <c:valAx>
        <c:axId val="55751094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7510160"/>
        <c:crosses val="autoZero"/>
        <c:crossBetween val="midCat"/>
        <c:majorUnit val="2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 algn="ctr">
        <a:defRPr lang="en-US" sz="1050" b="0" i="0" u="none" strike="noStrike" kern="1200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345424099142358"/>
          <c:y val="0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8786543648802"/>
          <c:y val="0.11973621150699651"/>
          <c:w val="0.80770970110730622"/>
          <c:h val="0.73075960340911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analysis'!$M$272</c:f>
              <c:strCache>
                <c:ptCount val="1"/>
                <c:pt idx="0">
                  <c:v>Q1000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1950589388991001E-2"/>
                  <c:y val="-8.096847603116071E-2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rgbClr val="000000"/>
                      </a:solidFill>
                      <a:latin typeface="Gill Sans MT" panose="020B0502020104020203" pitchFamily="34" charset="0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analysis'!$M$274:$M$277</c:f>
              <c:numCache>
                <c:formatCode>0.0</c:formatCode>
                <c:ptCount val="4"/>
                <c:pt idx="0">
                  <c:v>124.89861002673202</c:v>
                </c:pt>
                <c:pt idx="1">
                  <c:v>1289.1112224289388</c:v>
                </c:pt>
                <c:pt idx="2">
                  <c:v>2556.7852903027942</c:v>
                </c:pt>
                <c:pt idx="3">
                  <c:v>8833.080041107647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8-4EB5-8ABF-366D6352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8784"/>
        <c:axId val="557513296"/>
      </c:scatterChart>
      <c:valAx>
        <c:axId val="557518784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7513296"/>
        <c:crosses val="autoZero"/>
        <c:crossBetween val="midCat"/>
      </c:valAx>
      <c:valAx>
        <c:axId val="5575132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7518784"/>
        <c:crosses val="autoZero"/>
        <c:crossBetween val="midCat"/>
        <c:majorUnit val="2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38369975414856"/>
          <c:y val="9.6219957307129185E-3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2456184912369"/>
          <c:y val="0.11503020132321382"/>
          <c:w val="0.82394194274102839"/>
          <c:h val="0.74048000121221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analysis'!$N$272</c:f>
              <c:strCache>
                <c:ptCount val="1"/>
                <c:pt idx="0">
                  <c:v>Q5000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7.0633181890083607E-2"/>
                  <c:y val="-3.3243237612154017E-2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/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analysis'!$N$274:$N$277</c:f>
              <c:numCache>
                <c:formatCode>0.0</c:formatCode>
                <c:ptCount val="4"/>
                <c:pt idx="0">
                  <c:v>145.07090984959029</c:v>
                </c:pt>
                <c:pt idx="1">
                  <c:v>1742.4704713500792</c:v>
                </c:pt>
                <c:pt idx="2">
                  <c:v>2857.8320342625011</c:v>
                </c:pt>
                <c:pt idx="3">
                  <c:v>10736.078061451466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5-4D5E-92C9-5C50C90D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1336"/>
        <c:axId val="557511728"/>
      </c:scatterChart>
      <c:valAx>
        <c:axId val="557511336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7511728"/>
        <c:crosses val="autoZero"/>
        <c:crossBetween val="midCat"/>
      </c:valAx>
      <c:valAx>
        <c:axId val="55751172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557511336"/>
        <c:crosses val="autoZero"/>
        <c:crossBetween val="midCat"/>
        <c:majorUnit val="2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 algn="ctr">
        <a:defRPr lang="en-US" sz="1050" b="0" i="0" u="none" strike="noStrike" kern="1200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345424099142358"/>
          <c:y val="0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rgbClr val="000000"/>
              </a:solidFill>
              <a:latin typeface="Gill Sans MT" panose="020B0502020104020203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8786543648802"/>
          <c:y val="0.11973621150699651"/>
          <c:w val="0.80770970110730622"/>
          <c:h val="0.73075960340911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analysis'!$O$272</c:f>
              <c:strCache>
                <c:ptCount val="1"/>
                <c:pt idx="0">
                  <c:v>Q10000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1950589388991001E-2"/>
                  <c:y val="-8.096847603116071E-2"/>
                </c:manualLayout>
              </c:layout>
              <c:numFmt formatCode="0.00000000" sourceLinked="0"/>
              <c:txPr>
                <a:bodyPr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rgbClr val="000000"/>
                      </a:solidFill>
                      <a:latin typeface="Gill Sans MT" panose="020B0502020104020203" pitchFamily="34" charset="0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'Regional regression analysis'!$C$274:$C$277</c:f>
              <c:numCache>
                <c:formatCode>0.0</c:formatCode>
                <c:ptCount val="4"/>
                <c:pt idx="0">
                  <c:v>148.13999999999999</c:v>
                </c:pt>
                <c:pt idx="1">
                  <c:v>391.36</c:v>
                </c:pt>
                <c:pt idx="2">
                  <c:v>16396.2</c:v>
                </c:pt>
                <c:pt idx="3">
                  <c:v>17849.7</c:v>
                </c:pt>
              </c:numCache>
            </c:numRef>
          </c:xVal>
          <c:yVal>
            <c:numRef>
              <c:f>'Regional regression analysis'!$O$274:$O$277</c:f>
              <c:numCache>
                <c:formatCode>0.0</c:formatCode>
                <c:ptCount val="4"/>
                <c:pt idx="0">
                  <c:v>153.75711337504814</c:v>
                </c:pt>
                <c:pt idx="1">
                  <c:v>1969.6530292179168</c:v>
                </c:pt>
                <c:pt idx="2">
                  <c:v>2987.462929682134</c:v>
                </c:pt>
                <c:pt idx="3">
                  <c:v>11626.531655402445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C-451E-99ED-8921109B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09768"/>
        <c:axId val="557507024"/>
      </c:scatterChart>
      <c:valAx>
        <c:axId val="557509768"/>
        <c:scaling>
          <c:orientation val="minMax"/>
          <c:max val="100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7507024"/>
        <c:crosses val="autoZero"/>
        <c:crossBetween val="midCat"/>
      </c:valAx>
      <c:valAx>
        <c:axId val="55750702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50" b="0" i="0" u="none" strike="noStrike" kern="1200" baseline="0">
                <a:solidFill>
                  <a:srgbClr val="000000"/>
                </a:solidFill>
                <a:latin typeface="Gill Sans MT" panose="020B0502020104020203" pitchFamily="34" charset="0"/>
                <a:ea typeface="Arial"/>
                <a:cs typeface="Arial"/>
              </a:defRPr>
            </a:pPr>
            <a:endParaRPr lang="en-US"/>
          </a:p>
        </c:txPr>
        <c:crossAx val="557509768"/>
        <c:crosses val="autoZero"/>
        <c:crossBetween val="midCat"/>
        <c:majorUnit val="200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7268244357747"/>
          <c:y val="7.756145440295141E-2"/>
          <c:w val="0.72778099396013241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analysis'!$A$15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917101117232819"/>
                  <c:y val="0.10684504242794893"/>
                </c:manualLayout>
              </c:layout>
              <c:numFmt formatCode="General" sourceLinked="0"/>
            </c:trendlineLbl>
          </c:trendline>
          <c:xVal>
            <c:numRef>
              <c:f>'Regional regression analysis'!$B$224:$N$224</c:f>
            </c:numRef>
          </c:xVal>
          <c:yVal>
            <c:numRef>
              <c:f>'Regional regression analysis'!$C$227:$N$227</c:f>
            </c:numRef>
          </c:yVal>
          <c:smooth val="0"/>
          <c:extLst>
            <c:ext xmlns:c16="http://schemas.microsoft.com/office/drawing/2014/chart" uri="{C3380CC4-5D6E-409C-BE32-E72D297353CC}">
              <c16:uniqueId val="{00000000-6AF1-402B-A637-9123F30F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4048"/>
        <c:axId val="556481696"/>
      </c:scatterChart>
      <c:valAx>
        <c:axId val="5564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1696"/>
        <c:crosses val="autoZero"/>
        <c:crossBetween val="midCat"/>
      </c:valAx>
      <c:valAx>
        <c:axId val="5564816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4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Log Pearson III</a:t>
            </a:r>
          </a:p>
        </c:rich>
      </c:tx>
      <c:layout>
        <c:manualLayout>
          <c:xMode val="edge"/>
          <c:yMode val="edge"/>
          <c:x val="0.40983444377145162"/>
          <c:y val="2.27921509811273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68122109502217"/>
          <c:y val="0.10502331044235912"/>
          <c:w val="0.75028436786922004"/>
          <c:h val="0.739370345655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analysis'!$A$85</c:f>
              <c:strCache>
                <c:ptCount val="1"/>
                <c:pt idx="0">
                  <c:v>Log Pearson III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3567973062443068E-3"/>
                  <c:y val="0.11279866306966962"/>
                </c:manualLayout>
              </c:layout>
              <c:numFmt formatCode="General" sourceLinked="0"/>
            </c:trendlineLbl>
          </c:trendline>
          <c:xVal>
            <c:numRef>
              <c:f>'Regional regression analysis'!$B$224:$N$224</c:f>
            </c:numRef>
          </c:xVal>
          <c:yVal>
            <c:numRef>
              <c:f>'Regional regression analysis'!$B$226:$N$226</c:f>
            </c:numRef>
          </c:yVal>
          <c:smooth val="0"/>
          <c:extLst>
            <c:ext xmlns:c16="http://schemas.microsoft.com/office/drawing/2014/chart" uri="{C3380CC4-5D6E-409C-BE32-E72D297353CC}">
              <c16:uniqueId val="{00000000-8DBE-46FE-842C-E01CE44E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9144"/>
        <c:axId val="556480912"/>
      </c:scatterChart>
      <c:valAx>
        <c:axId val="55648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0912"/>
        <c:crosses val="autoZero"/>
        <c:crossBetween val="midCat"/>
      </c:valAx>
      <c:valAx>
        <c:axId val="5564809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9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0103176758078"/>
          <c:y val="0.13488231119702118"/>
          <c:w val="0.74184523486288356"/>
          <c:h val="0.71061073775670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regression analysis'!$A$59</c:f>
              <c:strCache>
                <c:ptCount val="1"/>
                <c:pt idx="0">
                  <c:v>Log normal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396741786587022"/>
                  <c:y val="-1.9341935970766777E-2"/>
                </c:manualLayout>
              </c:layout>
              <c:numFmt formatCode="General" sourceLinked="0"/>
            </c:trendlineLbl>
          </c:trendline>
          <c:xVal>
            <c:numRef>
              <c:f>'Regional regression analysis'!$B$224:$N$224</c:f>
            </c:numRef>
          </c:xVal>
          <c:yVal>
            <c:numRef>
              <c:f>'Regional regression analysis'!$B$225:$N$225</c:f>
            </c:numRef>
          </c:yVal>
          <c:smooth val="0"/>
          <c:extLst>
            <c:ext xmlns:c16="http://schemas.microsoft.com/office/drawing/2014/chart" uri="{C3380CC4-5D6E-409C-BE32-E72D297353CC}">
              <c16:uniqueId val="{00000000-C125-4237-812B-A43BDCCF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0712"/>
        <c:axId val="556481304"/>
      </c:scatterChart>
      <c:valAx>
        <c:axId val="55649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81304"/>
        <c:crosses val="autoZero"/>
        <c:crossBetween val="midCat"/>
      </c:valAx>
      <c:valAx>
        <c:axId val="5564813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49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1647755057234"/>
          <c:y val="0.12328815062500749"/>
          <c:w val="0.74922600619195068"/>
          <c:h val="0.57534503132594594"/>
        </c:manualLayout>
      </c:layout>
      <c:scatterChart>
        <c:scatterStyle val="lineMarker"/>
        <c:varyColors val="0"/>
        <c:ser>
          <c:idx val="0"/>
          <c:order val="0"/>
          <c:tx>
            <c:v>'Hongu Flood Analysis'!#REF!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4.1415925670888098E-4"/>
                  <c:y val="0.199390692601780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0-4EB7-AAB2-34193223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5256"/>
        <c:axId val="557508984"/>
      </c:scatterChart>
      <c:valAx>
        <c:axId val="55751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508984"/>
        <c:crosses val="autoZero"/>
        <c:crossBetween val="midCat"/>
      </c:valAx>
      <c:valAx>
        <c:axId val="557508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515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09897077472075"/>
          <c:y val="0.10502331044235914"/>
          <c:w val="0.74922600619195068"/>
          <c:h val="0.57534503132594594"/>
        </c:manualLayout>
      </c:layout>
      <c:scatterChart>
        <c:scatterStyle val="lineMarker"/>
        <c:varyColors val="0"/>
        <c:ser>
          <c:idx val="0"/>
          <c:order val="0"/>
          <c:tx>
            <c:v>'Hongu Flood Analysis'!#REF!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3.6993128667905321E-4"/>
                  <c:y val="0.1811258524191325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E-4468-871E-2F1B6677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2904"/>
        <c:axId val="557513688"/>
      </c:scatterChart>
      <c:valAx>
        <c:axId val="55751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513688"/>
        <c:crosses val="autoZero"/>
        <c:crossBetween val="midCat"/>
      </c:valAx>
      <c:valAx>
        <c:axId val="557513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512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82869171554887"/>
          <c:y val="0.12328815062500749"/>
          <c:w val="0.74922600619195068"/>
          <c:h val="0.57534503132594594"/>
        </c:manualLayout>
      </c:layout>
      <c:scatterChart>
        <c:scatterStyle val="lineMarker"/>
        <c:varyColors val="0"/>
        <c:ser>
          <c:idx val="0"/>
          <c:order val="0"/>
          <c:tx>
            <c:v>'Hongu Flood Analysis'!#REF!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9.9526149835297596E-4"/>
                  <c:y val="0.144596172053835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3-40B3-962A-F7B8EA18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14472"/>
        <c:axId val="557508592"/>
      </c:scatterChart>
      <c:valAx>
        <c:axId val="55751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508592"/>
        <c:crosses val="autoZero"/>
        <c:crossBetween val="midCat"/>
      </c:valAx>
      <c:valAx>
        <c:axId val="55750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514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94918418702818"/>
          <c:y val="1.9495811526553195E-2"/>
          <c:w val="0.6956178261222502"/>
          <c:h val="0.7310336806701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'Regional flood frequency analys'!$A$30</c:f>
              <c:strCache>
                <c:ptCount val="1"/>
                <c:pt idx="0">
                  <c:v>Gumbel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7267617652330439"/>
                  <c:y val="0.1940964758046021"/>
                </c:manualLayout>
              </c:layout>
              <c:numFmt formatCode="General" sourceLinked="0"/>
            </c:trendlineLbl>
          </c:trendline>
          <c:xVal>
            <c:numRef>
              <c:f>'Regional flood frequency analys'!$C$102:$L$102</c:f>
              <c:numCache>
                <c:formatCode>General</c:formatCode>
                <c:ptCount val="10"/>
                <c:pt idx="0">
                  <c:v>2</c:v>
                </c:pt>
                <c:pt idx="1">
                  <c:v>2.33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'Regional flood frequency analys'!$C$105:$L$105</c:f>
              <c:numCache>
                <c:formatCode>0.0</c:formatCode>
                <c:ptCount val="10"/>
                <c:pt idx="0">
                  <c:v>2825.3623019180159</c:v>
                </c:pt>
                <c:pt idx="1">
                  <c:v>2995.3354945597016</c:v>
                </c:pt>
                <c:pt idx="2">
                  <c:v>3733.7761157448676</c:v>
                </c:pt>
                <c:pt idx="3">
                  <c:v>4335.2251041923164</c:v>
                </c:pt>
                <c:pt idx="4">
                  <c:v>4912.1494138284379</c:v>
                </c:pt>
                <c:pt idx="5">
                  <c:v>5658.9187550930619</c:v>
                </c:pt>
                <c:pt idx="6">
                  <c:v>6218.5172900333837</c:v>
                </c:pt>
                <c:pt idx="7">
                  <c:v>6776.0739439194822</c:v>
                </c:pt>
                <c:pt idx="8">
                  <c:v>7511.6640772067476</c:v>
                </c:pt>
                <c:pt idx="9">
                  <c:v>8067.6056707158459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D-4D98-AAD9-61FDBCD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91760"/>
        <c:axId val="383592152"/>
      </c:scatterChart>
      <c:valAx>
        <c:axId val="38359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92152"/>
        <c:crosses val="autoZero"/>
        <c:crossBetween val="midCat"/>
      </c:valAx>
      <c:valAx>
        <c:axId val="3835921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917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0.xml"/><Relationship Id="rId18" Type="http://schemas.openxmlformats.org/officeDocument/2006/relationships/chart" Target="../charts/chart65.xml"/><Relationship Id="rId26" Type="http://schemas.openxmlformats.org/officeDocument/2006/relationships/chart" Target="../charts/chart73.xml"/><Relationship Id="rId39" Type="http://schemas.openxmlformats.org/officeDocument/2006/relationships/chart" Target="../charts/chart86.xml"/><Relationship Id="rId21" Type="http://schemas.openxmlformats.org/officeDocument/2006/relationships/chart" Target="../charts/chart68.xml"/><Relationship Id="rId34" Type="http://schemas.openxmlformats.org/officeDocument/2006/relationships/chart" Target="../charts/chart81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17" Type="http://schemas.openxmlformats.org/officeDocument/2006/relationships/chart" Target="../charts/chart64.xml"/><Relationship Id="rId25" Type="http://schemas.openxmlformats.org/officeDocument/2006/relationships/chart" Target="../charts/chart72.xml"/><Relationship Id="rId33" Type="http://schemas.openxmlformats.org/officeDocument/2006/relationships/chart" Target="../charts/chart80.xml"/><Relationship Id="rId38" Type="http://schemas.openxmlformats.org/officeDocument/2006/relationships/chart" Target="../charts/chart85.xml"/><Relationship Id="rId2" Type="http://schemas.openxmlformats.org/officeDocument/2006/relationships/chart" Target="../charts/chart49.xml"/><Relationship Id="rId16" Type="http://schemas.openxmlformats.org/officeDocument/2006/relationships/chart" Target="../charts/chart63.xml"/><Relationship Id="rId20" Type="http://schemas.openxmlformats.org/officeDocument/2006/relationships/chart" Target="../charts/chart67.xml"/><Relationship Id="rId29" Type="http://schemas.openxmlformats.org/officeDocument/2006/relationships/chart" Target="../charts/chart76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24" Type="http://schemas.openxmlformats.org/officeDocument/2006/relationships/chart" Target="../charts/chart71.xml"/><Relationship Id="rId32" Type="http://schemas.openxmlformats.org/officeDocument/2006/relationships/chart" Target="../charts/chart79.xml"/><Relationship Id="rId37" Type="http://schemas.openxmlformats.org/officeDocument/2006/relationships/chart" Target="../charts/chart84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23" Type="http://schemas.openxmlformats.org/officeDocument/2006/relationships/chart" Target="../charts/chart70.xml"/><Relationship Id="rId28" Type="http://schemas.openxmlformats.org/officeDocument/2006/relationships/chart" Target="../charts/chart75.xml"/><Relationship Id="rId36" Type="http://schemas.openxmlformats.org/officeDocument/2006/relationships/chart" Target="../charts/chart83.xml"/><Relationship Id="rId10" Type="http://schemas.openxmlformats.org/officeDocument/2006/relationships/chart" Target="../charts/chart57.xml"/><Relationship Id="rId19" Type="http://schemas.openxmlformats.org/officeDocument/2006/relationships/chart" Target="../charts/chart66.xml"/><Relationship Id="rId31" Type="http://schemas.openxmlformats.org/officeDocument/2006/relationships/chart" Target="../charts/chart78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Relationship Id="rId22" Type="http://schemas.openxmlformats.org/officeDocument/2006/relationships/chart" Target="../charts/chart69.xml"/><Relationship Id="rId27" Type="http://schemas.openxmlformats.org/officeDocument/2006/relationships/chart" Target="../charts/chart74.xml"/><Relationship Id="rId30" Type="http://schemas.openxmlformats.org/officeDocument/2006/relationships/chart" Target="../charts/chart77.xml"/><Relationship Id="rId35" Type="http://schemas.openxmlformats.org/officeDocument/2006/relationships/chart" Target="../charts/chart82.xml"/><Relationship Id="rId8" Type="http://schemas.openxmlformats.org/officeDocument/2006/relationships/chart" Target="../charts/chart55.xml"/><Relationship Id="rId3" Type="http://schemas.openxmlformats.org/officeDocument/2006/relationships/chart" Target="../charts/chart50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409577</xdr:colOff>
      <xdr:row>29</xdr:row>
      <xdr:rowOff>68262</xdr:rowOff>
    </xdr:from>
    <xdr:to>
      <xdr:col>7</xdr:col>
      <xdr:colOff>508000</xdr:colOff>
      <xdr:row>45</xdr:row>
      <xdr:rowOff>222250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5AF60E98-F417-47B8-9E85-A51978318E5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0.37237</cdr:x>
      <cdr:y>0.90867</cdr:y>
    </cdr:from>
    <cdr:to>
      <cdr:x>0.73131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5485" y="3404332"/>
          <a:ext cx="1422263" cy="342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3DBB7794-F257-48AF-9611-E457C5BD2D6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C75A056-F714-40DD-B19D-916FCA73395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957262</xdr:colOff>
      <xdr:row>31</xdr:row>
      <xdr:rowOff>4761</xdr:rowOff>
    </xdr:from>
    <xdr:to>
      <xdr:col>11</xdr:col>
      <xdr:colOff>607218</xdr:colOff>
      <xdr:row>46</xdr:row>
      <xdr:rowOff>71437</xdr:rowOff>
    </xdr:to>
    <xdr:graphicFrame macro="">
      <xdr:nvGraphicFramePr>
        <xdr:cNvPr id="13773618" name="Chart 6">
          <a:extLst>
            <a:ext uri="{FF2B5EF4-FFF2-40B4-BE49-F238E27FC236}">
              <a16:creationId xmlns:a16="http://schemas.microsoft.com/office/drawing/2014/main" id="{00000000-0008-0000-0200-000032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814388</xdr:colOff>
      <xdr:row>31</xdr:row>
      <xdr:rowOff>23812</xdr:rowOff>
    </xdr:from>
    <xdr:to>
      <xdr:col>7</xdr:col>
      <xdr:colOff>559594</xdr:colOff>
      <xdr:row>46</xdr:row>
      <xdr:rowOff>95250</xdr:rowOff>
    </xdr:to>
    <xdr:graphicFrame macro="">
      <xdr:nvGraphicFramePr>
        <xdr:cNvPr id="13773619" name="Chart 6">
          <a:extLst>
            <a:ext uri="{FF2B5EF4-FFF2-40B4-BE49-F238E27FC236}">
              <a16:creationId xmlns:a16="http://schemas.microsoft.com/office/drawing/2014/main" id="{00000000-0008-0000-0200-000033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164305</xdr:colOff>
      <xdr:row>31</xdr:row>
      <xdr:rowOff>19049</xdr:rowOff>
    </xdr:from>
    <xdr:to>
      <xdr:col>3</xdr:col>
      <xdr:colOff>511967</xdr:colOff>
      <xdr:row>46</xdr:row>
      <xdr:rowOff>83344</xdr:rowOff>
    </xdr:to>
    <xdr:graphicFrame macro="">
      <xdr:nvGraphicFramePr>
        <xdr:cNvPr id="13773620" name="Chart 6">
          <a:extLst>
            <a:ext uri="{FF2B5EF4-FFF2-40B4-BE49-F238E27FC236}">
              <a16:creationId xmlns:a16="http://schemas.microsoft.com/office/drawing/2014/main" id="{00000000-0008-0000-0200-000034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1138238</xdr:colOff>
      <xdr:row>58</xdr:row>
      <xdr:rowOff>195263</xdr:rowOff>
    </xdr:from>
    <xdr:to>
      <xdr:col>7</xdr:col>
      <xdr:colOff>988218</xdr:colOff>
      <xdr:row>73</xdr:row>
      <xdr:rowOff>95250</xdr:rowOff>
    </xdr:to>
    <xdr:graphicFrame macro="">
      <xdr:nvGraphicFramePr>
        <xdr:cNvPr id="13773621" name="Chart 6">
          <a:extLst>
            <a:ext uri="{FF2B5EF4-FFF2-40B4-BE49-F238E27FC236}">
              <a16:creationId xmlns:a16="http://schemas.microsoft.com/office/drawing/2014/main" id="{00000000-0008-0000-0200-000035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614362</xdr:colOff>
      <xdr:row>58</xdr:row>
      <xdr:rowOff>138113</xdr:rowOff>
    </xdr:from>
    <xdr:to>
      <xdr:col>3</xdr:col>
      <xdr:colOff>500062</xdr:colOff>
      <xdr:row>73</xdr:row>
      <xdr:rowOff>83344</xdr:rowOff>
    </xdr:to>
    <xdr:graphicFrame macro="">
      <xdr:nvGraphicFramePr>
        <xdr:cNvPr id="13773622" name="Chart 6">
          <a:extLst>
            <a:ext uri="{FF2B5EF4-FFF2-40B4-BE49-F238E27FC236}">
              <a16:creationId xmlns:a16="http://schemas.microsoft.com/office/drawing/2014/main" id="{00000000-0008-0000-0200-000036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83</xdr:row>
      <xdr:rowOff>23812</xdr:rowOff>
    </xdr:from>
    <xdr:to>
      <xdr:col>11</xdr:col>
      <xdr:colOff>297656</xdr:colOff>
      <xdr:row>97</xdr:row>
      <xdr:rowOff>71438</xdr:rowOff>
    </xdr:to>
    <xdr:graphicFrame macro="">
      <xdr:nvGraphicFramePr>
        <xdr:cNvPr id="13773623" name="Chart 6">
          <a:extLst>
            <a:ext uri="{FF2B5EF4-FFF2-40B4-BE49-F238E27FC236}">
              <a16:creationId xmlns:a16="http://schemas.microsoft.com/office/drawing/2014/main" id="{00000000-0008-0000-0200-000037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7145</xdr:colOff>
      <xdr:row>83</xdr:row>
      <xdr:rowOff>35717</xdr:rowOff>
    </xdr:from>
    <xdr:to>
      <xdr:col>7</xdr:col>
      <xdr:colOff>797719</xdr:colOff>
      <xdr:row>97</xdr:row>
      <xdr:rowOff>95249</xdr:rowOff>
    </xdr:to>
    <xdr:graphicFrame macro="">
      <xdr:nvGraphicFramePr>
        <xdr:cNvPr id="13773624" name="Chart 6">
          <a:extLst>
            <a:ext uri="{FF2B5EF4-FFF2-40B4-BE49-F238E27FC236}">
              <a16:creationId xmlns:a16="http://schemas.microsoft.com/office/drawing/2014/main" id="{00000000-0008-0000-0200-000038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28574</xdr:colOff>
      <xdr:row>105</xdr:row>
      <xdr:rowOff>64294</xdr:rowOff>
    </xdr:from>
    <xdr:to>
      <xdr:col>11</xdr:col>
      <xdr:colOff>345281</xdr:colOff>
      <xdr:row>120</xdr:row>
      <xdr:rowOff>1</xdr:rowOff>
    </xdr:to>
    <xdr:graphicFrame macro="">
      <xdr:nvGraphicFramePr>
        <xdr:cNvPr id="13773625" name="Chart 6">
          <a:extLst>
            <a:ext uri="{FF2B5EF4-FFF2-40B4-BE49-F238E27FC236}">
              <a16:creationId xmlns:a16="http://schemas.microsoft.com/office/drawing/2014/main" id="{00000000-0008-0000-0200-000039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</xdr:colOff>
      <xdr:row>105</xdr:row>
      <xdr:rowOff>65994</xdr:rowOff>
    </xdr:from>
    <xdr:to>
      <xdr:col>7</xdr:col>
      <xdr:colOff>821530</xdr:colOff>
      <xdr:row>119</xdr:row>
      <xdr:rowOff>202406</xdr:rowOff>
    </xdr:to>
    <xdr:graphicFrame macro="">
      <xdr:nvGraphicFramePr>
        <xdr:cNvPr id="13773626" name="Chart 6">
          <a:extLst>
            <a:ext uri="{FF2B5EF4-FFF2-40B4-BE49-F238E27FC236}">
              <a16:creationId xmlns:a16="http://schemas.microsoft.com/office/drawing/2014/main" id="{00000000-0008-0000-0200-00003A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676955</xdr:colOff>
      <xdr:row>105</xdr:row>
      <xdr:rowOff>59531</xdr:rowOff>
    </xdr:from>
    <xdr:to>
      <xdr:col>3</xdr:col>
      <xdr:colOff>488156</xdr:colOff>
      <xdr:row>120</xdr:row>
      <xdr:rowOff>23813</xdr:rowOff>
    </xdr:to>
    <xdr:graphicFrame macro="">
      <xdr:nvGraphicFramePr>
        <xdr:cNvPr id="13773627" name="Chart 6">
          <a:extLst>
            <a:ext uri="{FF2B5EF4-FFF2-40B4-BE49-F238E27FC236}">
              <a16:creationId xmlns:a16="http://schemas.microsoft.com/office/drawing/2014/main" id="{00000000-0008-0000-0200-00003B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119063</xdr:colOff>
      <xdr:row>174</xdr:row>
      <xdr:rowOff>11906</xdr:rowOff>
    </xdr:from>
    <xdr:to>
      <xdr:col>11</xdr:col>
      <xdr:colOff>381000</xdr:colOff>
      <xdr:row>187</xdr:row>
      <xdr:rowOff>202406</xdr:rowOff>
    </xdr:to>
    <xdr:graphicFrame macro="">
      <xdr:nvGraphicFramePr>
        <xdr:cNvPr id="13773631" name="Chart 6">
          <a:extLst>
            <a:ext uri="{FF2B5EF4-FFF2-40B4-BE49-F238E27FC236}">
              <a16:creationId xmlns:a16="http://schemas.microsoft.com/office/drawing/2014/main" id="{00000000-0008-0000-0200-00003F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38441</xdr:colOff>
      <xdr:row>173</xdr:row>
      <xdr:rowOff>190498</xdr:rowOff>
    </xdr:from>
    <xdr:to>
      <xdr:col>7</xdr:col>
      <xdr:colOff>773906</xdr:colOff>
      <xdr:row>187</xdr:row>
      <xdr:rowOff>190500</xdr:rowOff>
    </xdr:to>
    <xdr:graphicFrame macro="">
      <xdr:nvGraphicFramePr>
        <xdr:cNvPr id="13773632" name="Chart 6">
          <a:extLst>
            <a:ext uri="{FF2B5EF4-FFF2-40B4-BE49-F238E27FC236}">
              <a16:creationId xmlns:a16="http://schemas.microsoft.com/office/drawing/2014/main" id="{00000000-0008-0000-0200-000040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740909</xdr:colOff>
      <xdr:row>173</xdr:row>
      <xdr:rowOff>154781</xdr:rowOff>
    </xdr:from>
    <xdr:to>
      <xdr:col>3</xdr:col>
      <xdr:colOff>619125</xdr:colOff>
      <xdr:row>187</xdr:row>
      <xdr:rowOff>178594</xdr:rowOff>
    </xdr:to>
    <xdr:graphicFrame macro="">
      <xdr:nvGraphicFramePr>
        <xdr:cNvPr id="13773633" name="Chart 6">
          <a:extLst>
            <a:ext uri="{FF2B5EF4-FFF2-40B4-BE49-F238E27FC236}">
              <a16:creationId xmlns:a16="http://schemas.microsoft.com/office/drawing/2014/main" id="{00000000-0008-0000-0200-000041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6803</xdr:colOff>
      <xdr:row>128</xdr:row>
      <xdr:rowOff>166688</xdr:rowOff>
    </xdr:from>
    <xdr:to>
      <xdr:col>11</xdr:col>
      <xdr:colOff>285750</xdr:colOff>
      <xdr:row>142</xdr:row>
      <xdr:rowOff>190500</xdr:rowOff>
    </xdr:to>
    <xdr:graphicFrame macro="">
      <xdr:nvGraphicFramePr>
        <xdr:cNvPr id="13773634" name="Chart 6">
          <a:extLst>
            <a:ext uri="{FF2B5EF4-FFF2-40B4-BE49-F238E27FC236}">
              <a16:creationId xmlns:a16="http://schemas.microsoft.com/office/drawing/2014/main" id="{00000000-0008-0000-0200-000042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24832</xdr:colOff>
      <xdr:row>128</xdr:row>
      <xdr:rowOff>148319</xdr:rowOff>
    </xdr:from>
    <xdr:to>
      <xdr:col>7</xdr:col>
      <xdr:colOff>702468</xdr:colOff>
      <xdr:row>142</xdr:row>
      <xdr:rowOff>178594</xdr:rowOff>
    </xdr:to>
    <xdr:graphicFrame macro="">
      <xdr:nvGraphicFramePr>
        <xdr:cNvPr id="13773635" name="Chart 6">
          <a:extLst>
            <a:ext uri="{FF2B5EF4-FFF2-40B4-BE49-F238E27FC236}">
              <a16:creationId xmlns:a16="http://schemas.microsoft.com/office/drawing/2014/main" id="{00000000-0008-0000-0200-000043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649743</xdr:colOff>
      <xdr:row>128</xdr:row>
      <xdr:rowOff>166686</xdr:rowOff>
    </xdr:from>
    <xdr:to>
      <xdr:col>3</xdr:col>
      <xdr:colOff>428626</xdr:colOff>
      <xdr:row>142</xdr:row>
      <xdr:rowOff>190499</xdr:rowOff>
    </xdr:to>
    <xdr:graphicFrame macro="">
      <xdr:nvGraphicFramePr>
        <xdr:cNvPr id="13773636" name="Chart 6">
          <a:extLst>
            <a:ext uri="{FF2B5EF4-FFF2-40B4-BE49-F238E27FC236}">
              <a16:creationId xmlns:a16="http://schemas.microsoft.com/office/drawing/2014/main" id="{00000000-0008-0000-0200-000044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583407</xdr:colOff>
      <xdr:row>83</xdr:row>
      <xdr:rowOff>23811</xdr:rowOff>
    </xdr:from>
    <xdr:to>
      <xdr:col>2</xdr:col>
      <xdr:colOff>973667</xdr:colOff>
      <xdr:row>97</xdr:row>
      <xdr:rowOff>95250</xdr:rowOff>
    </xdr:to>
    <xdr:graphicFrame macro="">
      <xdr:nvGraphicFramePr>
        <xdr:cNvPr id="13773637" name="Chart 6">
          <a:extLst>
            <a:ext uri="{FF2B5EF4-FFF2-40B4-BE49-F238E27FC236}">
              <a16:creationId xmlns:a16="http://schemas.microsoft.com/office/drawing/2014/main" id="{00000000-0008-0000-0200-000045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11907</xdr:colOff>
      <xdr:row>58</xdr:row>
      <xdr:rowOff>166688</xdr:rowOff>
    </xdr:from>
    <xdr:to>
      <xdr:col>11</xdr:col>
      <xdr:colOff>321469</xdr:colOff>
      <xdr:row>73</xdr:row>
      <xdr:rowOff>95250</xdr:rowOff>
    </xdr:to>
    <xdr:graphicFrame macro="">
      <xdr:nvGraphicFramePr>
        <xdr:cNvPr id="13773638" name="Chart 6">
          <a:extLst>
            <a:ext uri="{FF2B5EF4-FFF2-40B4-BE49-F238E27FC236}">
              <a16:creationId xmlns:a16="http://schemas.microsoft.com/office/drawing/2014/main" id="{00000000-0008-0000-0200-0000462B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359833</xdr:colOff>
      <xdr:row>298</xdr:row>
      <xdr:rowOff>14173</xdr:rowOff>
    </xdr:from>
    <xdr:to>
      <xdr:col>3</xdr:col>
      <xdr:colOff>328084</xdr:colOff>
      <xdr:row>311</xdr:row>
      <xdr:rowOff>162719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119061</xdr:colOff>
      <xdr:row>198</xdr:row>
      <xdr:rowOff>107155</xdr:rowOff>
    </xdr:from>
    <xdr:to>
      <xdr:col>11</xdr:col>
      <xdr:colOff>428624</xdr:colOff>
      <xdr:row>214</xdr:row>
      <xdr:rowOff>107155</xdr:rowOff>
    </xdr:to>
    <xdr:graphicFrame macro="">
      <xdr:nvGraphicFramePr>
        <xdr:cNvPr id="36" name="Chart 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47626</xdr:colOff>
      <xdr:row>198</xdr:row>
      <xdr:rowOff>95250</xdr:rowOff>
    </xdr:from>
    <xdr:to>
      <xdr:col>7</xdr:col>
      <xdr:colOff>1000125</xdr:colOff>
      <xdr:row>214</xdr:row>
      <xdr:rowOff>107157</xdr:rowOff>
    </xdr:to>
    <xdr:graphicFrame macro="">
      <xdr:nvGraphicFramePr>
        <xdr:cNvPr id="37" name="Chart 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750094</xdr:colOff>
      <xdr:row>198</xdr:row>
      <xdr:rowOff>119064</xdr:rowOff>
    </xdr:from>
    <xdr:to>
      <xdr:col>3</xdr:col>
      <xdr:colOff>654844</xdr:colOff>
      <xdr:row>214</xdr:row>
      <xdr:rowOff>119062</xdr:rowOff>
    </xdr:to>
    <xdr:graphicFrame macro="">
      <xdr:nvGraphicFramePr>
        <xdr:cNvPr id="38" name="Chart 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109198</xdr:colOff>
      <xdr:row>150</xdr:row>
      <xdr:rowOff>142875</xdr:rowOff>
    </xdr:from>
    <xdr:to>
      <xdr:col>11</xdr:col>
      <xdr:colOff>369093</xdr:colOff>
      <xdr:row>164</xdr:row>
      <xdr:rowOff>190500</xdr:rowOff>
    </xdr:to>
    <xdr:graphicFrame macro="">
      <xdr:nvGraphicFramePr>
        <xdr:cNvPr id="39" name="Chart 6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71437</xdr:colOff>
      <xdr:row>150</xdr:row>
      <xdr:rowOff>119061</xdr:rowOff>
    </xdr:from>
    <xdr:to>
      <xdr:col>7</xdr:col>
      <xdr:colOff>916780</xdr:colOff>
      <xdr:row>165</xdr:row>
      <xdr:rowOff>0</xdr:rowOff>
    </xdr:to>
    <xdr:graphicFrame macro="">
      <xdr:nvGraphicFramePr>
        <xdr:cNvPr id="40" name="Chart 6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738189</xdr:colOff>
      <xdr:row>150</xdr:row>
      <xdr:rowOff>142875</xdr:rowOff>
    </xdr:from>
    <xdr:to>
      <xdr:col>3</xdr:col>
      <xdr:colOff>571500</xdr:colOff>
      <xdr:row>164</xdr:row>
      <xdr:rowOff>178594</xdr:rowOff>
    </xdr:to>
    <xdr:graphicFrame macro="">
      <xdr:nvGraphicFramePr>
        <xdr:cNvPr id="41" name="Chart 6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1067594</xdr:colOff>
      <xdr:row>298</xdr:row>
      <xdr:rowOff>15872</xdr:rowOff>
    </xdr:from>
    <xdr:to>
      <xdr:col>8</xdr:col>
      <xdr:colOff>771260</xdr:colOff>
      <xdr:row>311</xdr:row>
      <xdr:rowOff>174624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857250</xdr:colOff>
      <xdr:row>297</xdr:row>
      <xdr:rowOff>206375</xdr:rowOff>
    </xdr:from>
    <xdr:to>
      <xdr:col>13</xdr:col>
      <xdr:colOff>976312</xdr:colOff>
      <xdr:row>311</xdr:row>
      <xdr:rowOff>174625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663346</xdr:colOff>
      <xdr:row>226</xdr:row>
      <xdr:rowOff>25512</xdr:rowOff>
    </xdr:from>
    <xdr:to>
      <xdr:col>11</xdr:col>
      <xdr:colOff>380999</xdr:colOff>
      <xdr:row>242</xdr:row>
      <xdr:rowOff>25512</xdr:rowOff>
    </xdr:to>
    <xdr:graphicFrame macro="">
      <xdr:nvGraphicFramePr>
        <xdr:cNvPr id="51" name="Chart 6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823234</xdr:colOff>
      <xdr:row>226</xdr:row>
      <xdr:rowOff>54429</xdr:rowOff>
    </xdr:from>
    <xdr:to>
      <xdr:col>6</xdr:col>
      <xdr:colOff>130629</xdr:colOff>
      <xdr:row>242</xdr:row>
      <xdr:rowOff>66336</xdr:rowOff>
    </xdr:to>
    <xdr:graphicFrame macro="">
      <xdr:nvGraphicFramePr>
        <xdr:cNvPr id="52" name="Chart 6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547688</xdr:colOff>
      <xdr:row>226</xdr:row>
      <xdr:rowOff>130968</xdr:rowOff>
    </xdr:from>
    <xdr:to>
      <xdr:col>2</xdr:col>
      <xdr:colOff>404813</xdr:colOff>
      <xdr:row>242</xdr:row>
      <xdr:rowOff>11906</xdr:rowOff>
    </xdr:to>
    <xdr:graphicFrame macro="">
      <xdr:nvGraphicFramePr>
        <xdr:cNvPr id="53" name="Chart 6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0.27774</cdr:x>
      <cdr:y>0.91696</cdr:y>
    </cdr:from>
    <cdr:to>
      <cdr:x>0.72772</cdr:x>
      <cdr:y>0.99524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0635" y="3056904"/>
          <a:ext cx="1442990" cy="260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6865154-1D81-44D4-BF96-B5FFBF49204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0.00145</cdr:x>
      <cdr:y>0.13242</cdr:y>
    </cdr:from>
    <cdr:to>
      <cdr:x>0.04813</cdr:x>
      <cdr:y>0.7032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71914" y="1318029"/>
          <a:ext cx="1902839" cy="149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B08D432-8D25-443C-8418-688E64072A4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6B08E378-D501-4248-87FB-B3B04C34D5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FA73B87-72E3-4D38-9F62-AE9ECFF1114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6.10833E-7</cdr:x>
      <cdr:y>0.0837</cdr:y>
    </cdr:from>
    <cdr:to>
      <cdr:x>0.04497</cdr:x>
      <cdr:y>0.65447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04962" y="1191965"/>
          <a:ext cx="1957169" cy="147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0.27774</cdr:x>
      <cdr:y>0.91696</cdr:y>
    </cdr:from>
    <cdr:to>
      <cdr:x>0.72772</cdr:x>
      <cdr:y>0.99524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0635" y="3056904"/>
          <a:ext cx="1442990" cy="260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65C3A5A-CFB3-46F6-B8DA-6A685F789F7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0.00145</cdr:x>
      <cdr:y>0.13242</cdr:y>
    </cdr:from>
    <cdr:to>
      <cdr:x>0.04813</cdr:x>
      <cdr:y>0.7032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71914" y="1318029"/>
          <a:ext cx="1902839" cy="149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488856</xdr:colOff>
      <xdr:row>15</xdr:row>
      <xdr:rowOff>700</xdr:rowOff>
    </xdr:from>
    <xdr:to>
      <xdr:col>11</xdr:col>
      <xdr:colOff>683557</xdr:colOff>
      <xdr:row>27</xdr:row>
      <xdr:rowOff>145675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3</xdr:col>
      <xdr:colOff>37819</xdr:colOff>
      <xdr:row>27</xdr:row>
      <xdr:rowOff>144975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89647</xdr:colOff>
      <xdr:row>15</xdr:row>
      <xdr:rowOff>0</xdr:rowOff>
    </xdr:from>
    <xdr:to>
      <xdr:col>7</xdr:col>
      <xdr:colOff>441230</xdr:colOff>
      <xdr:row>27</xdr:row>
      <xdr:rowOff>144975</xdr:rowOff>
    </xdr:to>
    <xdr:graphicFrame macro="">
      <xdr:nvGraphicFramePr>
        <xdr:cNvPr id="20" name="Chart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769003</xdr:colOff>
      <xdr:row>39</xdr:row>
      <xdr:rowOff>1</xdr:rowOff>
    </xdr:from>
    <xdr:to>
      <xdr:col>12</xdr:col>
      <xdr:colOff>190498</xdr:colOff>
      <xdr:row>52</xdr:row>
      <xdr:rowOff>179295</xdr:rowOff>
    </xdr:to>
    <xdr:graphicFrame macro="">
      <xdr:nvGraphicFramePr>
        <xdr:cNvPr id="21" name="Chart 6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32919</xdr:rowOff>
    </xdr:from>
    <xdr:to>
      <xdr:col>3</xdr:col>
      <xdr:colOff>112059</xdr:colOff>
      <xdr:row>53</xdr:row>
      <xdr:rowOff>33618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190500</xdr:colOff>
      <xdr:row>39</xdr:row>
      <xdr:rowOff>10507</xdr:rowOff>
    </xdr:from>
    <xdr:to>
      <xdr:col>7</xdr:col>
      <xdr:colOff>549088</xdr:colOff>
      <xdr:row>53</xdr:row>
      <xdr:rowOff>44824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537882</xdr:colOff>
      <xdr:row>108</xdr:row>
      <xdr:rowOff>57150</xdr:rowOff>
    </xdr:from>
    <xdr:to>
      <xdr:col>21</xdr:col>
      <xdr:colOff>437031</xdr:colOff>
      <xdr:row>137</xdr:row>
      <xdr:rowOff>100854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769003</xdr:colOff>
      <xdr:row>63</xdr:row>
      <xdr:rowOff>1</xdr:rowOff>
    </xdr:from>
    <xdr:to>
      <xdr:col>12</xdr:col>
      <xdr:colOff>190498</xdr:colOff>
      <xdr:row>76</xdr:row>
      <xdr:rowOff>179295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63</xdr:row>
      <xdr:rowOff>32919</xdr:rowOff>
    </xdr:from>
    <xdr:to>
      <xdr:col>3</xdr:col>
      <xdr:colOff>112059</xdr:colOff>
      <xdr:row>77</xdr:row>
      <xdr:rowOff>33618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190500</xdr:colOff>
      <xdr:row>63</xdr:row>
      <xdr:rowOff>10507</xdr:rowOff>
    </xdr:from>
    <xdr:to>
      <xdr:col>7</xdr:col>
      <xdr:colOff>549088</xdr:colOff>
      <xdr:row>77</xdr:row>
      <xdr:rowOff>44824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769003</xdr:colOff>
      <xdr:row>87</xdr:row>
      <xdr:rowOff>1</xdr:rowOff>
    </xdr:from>
    <xdr:to>
      <xdr:col>12</xdr:col>
      <xdr:colOff>190498</xdr:colOff>
      <xdr:row>100</xdr:row>
      <xdr:rowOff>179295</xdr:rowOff>
    </xdr:to>
    <xdr:graphicFrame macro="">
      <xdr:nvGraphicFramePr>
        <xdr:cNvPr id="39" name="Chart 6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87</xdr:row>
      <xdr:rowOff>32919</xdr:rowOff>
    </xdr:from>
    <xdr:to>
      <xdr:col>3</xdr:col>
      <xdr:colOff>112059</xdr:colOff>
      <xdr:row>101</xdr:row>
      <xdr:rowOff>33618</xdr:rowOff>
    </xdr:to>
    <xdr:graphicFrame macro="">
      <xdr:nvGraphicFramePr>
        <xdr:cNvPr id="40" name="Chart 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190500</xdr:colOff>
      <xdr:row>87</xdr:row>
      <xdr:rowOff>10507</xdr:rowOff>
    </xdr:from>
    <xdr:to>
      <xdr:col>7</xdr:col>
      <xdr:colOff>549088</xdr:colOff>
      <xdr:row>101</xdr:row>
      <xdr:rowOff>44824</xdr:rowOff>
    </xdr:to>
    <xdr:graphicFrame macro="">
      <xdr:nvGraphicFramePr>
        <xdr:cNvPr id="41" name="Chart 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769003</xdr:colOff>
      <xdr:row>122</xdr:row>
      <xdr:rowOff>0</xdr:rowOff>
    </xdr:from>
    <xdr:to>
      <xdr:col>12</xdr:col>
      <xdr:colOff>190498</xdr:colOff>
      <xdr:row>147</xdr:row>
      <xdr:rowOff>70436</xdr:rowOff>
    </xdr:to>
    <xdr:graphicFrame macro="">
      <xdr:nvGraphicFramePr>
        <xdr:cNvPr id="15" name="Chart 6">
          <a:extLst>
            <a:ext uri="{FF2B5EF4-FFF2-40B4-BE49-F238E27FC236}">
              <a16:creationId xmlns:a16="http://schemas.microsoft.com/office/drawing/2014/main" id="{F4FB4440-8E37-4E29-894B-A84CC463C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135</xdr:row>
      <xdr:rowOff>32918</xdr:rowOff>
    </xdr:from>
    <xdr:to>
      <xdr:col>3</xdr:col>
      <xdr:colOff>112059</xdr:colOff>
      <xdr:row>147</xdr:row>
      <xdr:rowOff>115259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17C56695-B234-4516-9D57-E54333E7B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190500</xdr:colOff>
      <xdr:row>122</xdr:row>
      <xdr:rowOff>10506</xdr:rowOff>
    </xdr:from>
    <xdr:to>
      <xdr:col>7</xdr:col>
      <xdr:colOff>549088</xdr:colOff>
      <xdr:row>147</xdr:row>
      <xdr:rowOff>126465</xdr:rowOff>
    </xdr:to>
    <xdr:graphicFrame macro="">
      <xdr:nvGraphicFramePr>
        <xdr:cNvPr id="18" name="Chart 6">
          <a:extLst>
            <a:ext uri="{FF2B5EF4-FFF2-40B4-BE49-F238E27FC236}">
              <a16:creationId xmlns:a16="http://schemas.microsoft.com/office/drawing/2014/main" id="{BE7545EC-7E4D-4C46-AB9C-6ACB2452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BD6F373-DE5D-44C2-8C88-1F837C4FDF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DC4BEC2-BE77-4740-9038-2B9C47F5DDE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EEF4AE6-C88B-46FA-B6B0-B3330F091E4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19C07005-197C-4574-8E5C-705C8A918B0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0.26099</cdr:x>
      <cdr:y>0.92538</cdr:y>
    </cdr:from>
    <cdr:to>
      <cdr:x>0.80279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6598" y="2622875"/>
          <a:ext cx="1653683" cy="211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154741FE-D853-4627-85F9-192F204612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0.30505</cdr:x>
      <cdr:y>0.91352</cdr:y>
    </cdr:from>
    <cdr:to>
      <cdr:x>0.84685</cdr:x>
      <cdr:y>0.98023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1069" y="2589257"/>
          <a:ext cx="1653683" cy="18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F28F119-13C1-404A-A147-EDB1E1568C9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E3D9B619-CF6E-401D-BE54-FA899CC1D67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0.26099</cdr:x>
      <cdr:y>0.92538</cdr:y>
    </cdr:from>
    <cdr:to>
      <cdr:x>0.80279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6598" y="2622875"/>
          <a:ext cx="1653683" cy="211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9F7F7C63-F4A8-4453-BB93-0CE1808B37C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0.30505</cdr:x>
      <cdr:y>0.91352</cdr:y>
    </cdr:from>
    <cdr:to>
      <cdr:x>0.84685</cdr:x>
      <cdr:y>0.98023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1069" y="2589257"/>
          <a:ext cx="1653683" cy="18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83CFF35-15B9-4FCB-A45C-3D8289FD3A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0.39641</cdr:x>
      <cdr:y>0.90867</cdr:y>
    </cdr:from>
    <cdr:to>
      <cdr:x>0.75535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9545" y="2870604"/>
          <a:ext cx="1430241" cy="288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0.11583</cdr:y>
    </cdr:from>
    <cdr:to>
      <cdr:x>0.05897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784080" y="1150002"/>
          <a:ext cx="1803134" cy="234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8CE4EAA-A88C-488A-ACCF-F56225D1D5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0.26099</cdr:x>
      <cdr:y>0.92538</cdr:y>
    </cdr:from>
    <cdr:to>
      <cdr:x>0.80279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6598" y="2622875"/>
          <a:ext cx="1653683" cy="211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46D0CD56-5C3A-4A64-87D0-F8BA01891C8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0.30505</cdr:x>
      <cdr:y>0.91352</cdr:y>
    </cdr:from>
    <cdr:to>
      <cdr:x>0.84685</cdr:x>
      <cdr:y>0.98023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1069" y="2589257"/>
          <a:ext cx="1653683" cy="18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5DBAD05-97B6-4CC5-916B-83B0A077829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8CE4EAA-A88C-488A-ACCF-F56225D1D5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0.26099</cdr:x>
      <cdr:y>0.92538</cdr:y>
    </cdr:from>
    <cdr:to>
      <cdr:x>0.80279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6598" y="2622875"/>
          <a:ext cx="1653683" cy="211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46D0CD56-5C3A-4A64-87D0-F8BA01891C8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0.30505</cdr:x>
      <cdr:y>0.91352</cdr:y>
    </cdr:from>
    <cdr:to>
      <cdr:x>0.84685</cdr:x>
      <cdr:y>0.98023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1069" y="2589257"/>
          <a:ext cx="1653683" cy="18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5DBAD05-97B6-4CC5-916B-83B0A077829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957262</xdr:colOff>
      <xdr:row>16</xdr:row>
      <xdr:rowOff>4761</xdr:rowOff>
    </xdr:from>
    <xdr:to>
      <xdr:col>11</xdr:col>
      <xdr:colOff>607218</xdr:colOff>
      <xdr:row>31</xdr:row>
      <xdr:rowOff>71437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814388</xdr:colOff>
      <xdr:row>16</xdr:row>
      <xdr:rowOff>23812</xdr:rowOff>
    </xdr:from>
    <xdr:to>
      <xdr:col>7</xdr:col>
      <xdr:colOff>559594</xdr:colOff>
      <xdr:row>31</xdr:row>
      <xdr:rowOff>95250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164305</xdr:colOff>
      <xdr:row>16</xdr:row>
      <xdr:rowOff>19049</xdr:rowOff>
    </xdr:from>
    <xdr:to>
      <xdr:col>3</xdr:col>
      <xdr:colOff>511967</xdr:colOff>
      <xdr:row>31</xdr:row>
      <xdr:rowOff>83344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1592037</xdr:colOff>
      <xdr:row>62</xdr:row>
      <xdr:rowOff>109538</xdr:rowOff>
    </xdr:from>
    <xdr:to>
      <xdr:col>4</xdr:col>
      <xdr:colOff>666751</xdr:colOff>
      <xdr:row>77</xdr:row>
      <xdr:rowOff>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110899</xdr:colOff>
      <xdr:row>62</xdr:row>
      <xdr:rowOff>70077</xdr:rowOff>
    </xdr:from>
    <xdr:to>
      <xdr:col>1</xdr:col>
      <xdr:colOff>1464130</xdr:colOff>
      <xdr:row>77</xdr:row>
      <xdr:rowOff>15308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816429</xdr:colOff>
      <xdr:row>86</xdr:row>
      <xdr:rowOff>200705</xdr:rowOff>
    </xdr:from>
    <xdr:to>
      <xdr:col>12</xdr:col>
      <xdr:colOff>163286</xdr:colOff>
      <xdr:row>101</xdr:row>
      <xdr:rowOff>149678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728325</xdr:colOff>
      <xdr:row>87</xdr:row>
      <xdr:rowOff>49324</xdr:rowOff>
    </xdr:from>
    <xdr:to>
      <xdr:col>6</xdr:col>
      <xdr:colOff>35720</xdr:colOff>
      <xdr:row>101</xdr:row>
      <xdr:rowOff>68035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28573</xdr:colOff>
      <xdr:row>109</xdr:row>
      <xdr:rowOff>64294</xdr:rowOff>
    </xdr:from>
    <xdr:to>
      <xdr:col>12</xdr:col>
      <xdr:colOff>571499</xdr:colOff>
      <xdr:row>124</xdr:row>
      <xdr:rowOff>1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</xdr:colOff>
      <xdr:row>109</xdr:row>
      <xdr:rowOff>65994</xdr:rowOff>
    </xdr:from>
    <xdr:to>
      <xdr:col>7</xdr:col>
      <xdr:colOff>821530</xdr:colOff>
      <xdr:row>123</xdr:row>
      <xdr:rowOff>202406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676955</xdr:colOff>
      <xdr:row>109</xdr:row>
      <xdr:rowOff>59531</xdr:rowOff>
    </xdr:from>
    <xdr:to>
      <xdr:col>3</xdr:col>
      <xdr:colOff>488156</xdr:colOff>
      <xdr:row>124</xdr:row>
      <xdr:rowOff>23813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64634</xdr:colOff>
      <xdr:row>178</xdr:row>
      <xdr:rowOff>39120</xdr:rowOff>
    </xdr:from>
    <xdr:to>
      <xdr:col>11</xdr:col>
      <xdr:colOff>666749</xdr:colOff>
      <xdr:row>192</xdr:row>
      <xdr:rowOff>11905</xdr:rowOff>
    </xdr:to>
    <xdr:graphicFrame macro="">
      <xdr:nvGraphicFramePr>
        <xdr:cNvPr id="12" name="Chart 6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1235870</xdr:colOff>
      <xdr:row>178</xdr:row>
      <xdr:rowOff>13604</xdr:rowOff>
    </xdr:from>
    <xdr:to>
      <xdr:col>6</xdr:col>
      <xdr:colOff>666750</xdr:colOff>
      <xdr:row>192</xdr:row>
      <xdr:rowOff>13606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740909</xdr:colOff>
      <xdr:row>177</xdr:row>
      <xdr:rowOff>154781</xdr:rowOff>
    </xdr:from>
    <xdr:to>
      <xdr:col>2</xdr:col>
      <xdr:colOff>748393</xdr:colOff>
      <xdr:row>191</xdr:row>
      <xdr:rowOff>178594</xdr:rowOff>
    </xdr:to>
    <xdr:graphicFrame macro="">
      <xdr:nvGraphicFramePr>
        <xdr:cNvPr id="14" name="Chart 6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6802</xdr:colOff>
      <xdr:row>132</xdr:row>
      <xdr:rowOff>98652</xdr:rowOff>
    </xdr:from>
    <xdr:to>
      <xdr:col>11</xdr:col>
      <xdr:colOff>666749</xdr:colOff>
      <xdr:row>146</xdr:row>
      <xdr:rowOff>122464</xdr:rowOff>
    </xdr:to>
    <xdr:graphicFrame macro="">
      <xdr:nvGraphicFramePr>
        <xdr:cNvPr id="15" name="Chart 6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1088572</xdr:colOff>
      <xdr:row>132</xdr:row>
      <xdr:rowOff>148319</xdr:rowOff>
    </xdr:from>
    <xdr:to>
      <xdr:col>6</xdr:col>
      <xdr:colOff>612322</xdr:colOff>
      <xdr:row>146</xdr:row>
      <xdr:rowOff>178594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649743</xdr:colOff>
      <xdr:row>132</xdr:row>
      <xdr:rowOff>166686</xdr:rowOff>
    </xdr:from>
    <xdr:to>
      <xdr:col>2</xdr:col>
      <xdr:colOff>707572</xdr:colOff>
      <xdr:row>146</xdr:row>
      <xdr:rowOff>190499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583408</xdr:colOff>
      <xdr:row>87</xdr:row>
      <xdr:rowOff>23811</xdr:rowOff>
    </xdr:from>
    <xdr:to>
      <xdr:col>2</xdr:col>
      <xdr:colOff>394608</xdr:colOff>
      <xdr:row>101</xdr:row>
      <xdr:rowOff>95250</xdr:rowOff>
    </xdr:to>
    <xdr:graphicFrame macro="">
      <xdr:nvGraphicFramePr>
        <xdr:cNvPr id="18" name="Chart 6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814728</xdr:colOff>
      <xdr:row>62</xdr:row>
      <xdr:rowOff>136072</xdr:rowOff>
    </xdr:from>
    <xdr:to>
      <xdr:col>8</xdr:col>
      <xdr:colOff>367393</xdr:colOff>
      <xdr:row>77</xdr:row>
      <xdr:rowOff>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663346</xdr:colOff>
      <xdr:row>202</xdr:row>
      <xdr:rowOff>25512</xdr:rowOff>
    </xdr:from>
    <xdr:to>
      <xdr:col>11</xdr:col>
      <xdr:colOff>380999</xdr:colOff>
      <xdr:row>218</xdr:row>
      <xdr:rowOff>25512</xdr:rowOff>
    </xdr:to>
    <xdr:graphicFrame macro="">
      <xdr:nvGraphicFramePr>
        <xdr:cNvPr id="21" name="Chart 6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823234</xdr:colOff>
      <xdr:row>202</xdr:row>
      <xdr:rowOff>54429</xdr:rowOff>
    </xdr:from>
    <xdr:to>
      <xdr:col>6</xdr:col>
      <xdr:colOff>130629</xdr:colOff>
      <xdr:row>218</xdr:row>
      <xdr:rowOff>66336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750094</xdr:colOff>
      <xdr:row>202</xdr:row>
      <xdr:rowOff>119064</xdr:rowOff>
    </xdr:from>
    <xdr:to>
      <xdr:col>2</xdr:col>
      <xdr:colOff>353786</xdr:colOff>
      <xdr:row>218</xdr:row>
      <xdr:rowOff>119062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340</xdr:colOff>
      <xdr:row>154</xdr:row>
      <xdr:rowOff>74839</xdr:rowOff>
    </xdr:from>
    <xdr:to>
      <xdr:col>11</xdr:col>
      <xdr:colOff>598713</xdr:colOff>
      <xdr:row>168</xdr:row>
      <xdr:rowOff>122464</xdr:rowOff>
    </xdr:to>
    <xdr:graphicFrame macro="">
      <xdr:nvGraphicFramePr>
        <xdr:cNvPr id="24" name="Chart 6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1078366</xdr:colOff>
      <xdr:row>154</xdr:row>
      <xdr:rowOff>78239</xdr:rowOff>
    </xdr:from>
    <xdr:to>
      <xdr:col>6</xdr:col>
      <xdr:colOff>544286</xdr:colOff>
      <xdr:row>168</xdr:row>
      <xdr:rowOff>176892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561297</xdr:colOff>
      <xdr:row>154</xdr:row>
      <xdr:rowOff>142875</xdr:rowOff>
    </xdr:from>
    <xdr:to>
      <xdr:col>2</xdr:col>
      <xdr:colOff>734786</xdr:colOff>
      <xdr:row>168</xdr:row>
      <xdr:rowOff>178594</xdr:rowOff>
    </xdr:to>
    <xdr:graphicFrame macro="">
      <xdr:nvGraphicFramePr>
        <xdr:cNvPr id="26" name="Chart 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367393</xdr:colOff>
      <xdr:row>278</xdr:row>
      <xdr:rowOff>61988</xdr:rowOff>
    </xdr:from>
    <xdr:to>
      <xdr:col>2</xdr:col>
      <xdr:colOff>585106</xdr:colOff>
      <xdr:row>291</xdr:row>
      <xdr:rowOff>81642</xdr:rowOff>
    </xdr:to>
    <xdr:graphicFrame macro="">
      <xdr:nvGraphicFramePr>
        <xdr:cNvPr id="28" name="Chart 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526144</xdr:colOff>
      <xdr:row>280</xdr:row>
      <xdr:rowOff>130023</xdr:rowOff>
    </xdr:from>
    <xdr:to>
      <xdr:col>9</xdr:col>
      <xdr:colOff>504977</xdr:colOff>
      <xdr:row>292</xdr:row>
      <xdr:rowOff>7861</xdr:rowOff>
    </xdr:to>
    <xdr:graphicFrame macro="">
      <xdr:nvGraphicFramePr>
        <xdr:cNvPr id="29" name="Chart 5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95250</xdr:colOff>
      <xdr:row>293</xdr:row>
      <xdr:rowOff>140608</xdr:rowOff>
    </xdr:from>
    <xdr:to>
      <xdr:col>1</xdr:col>
      <xdr:colOff>1735666</xdr:colOff>
      <xdr:row>305</xdr:row>
      <xdr:rowOff>154518</xdr:rowOff>
    </xdr:to>
    <xdr:graphicFrame macro="">
      <xdr:nvGraphicFramePr>
        <xdr:cNvPr id="30" name="Chart 5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775607</xdr:colOff>
      <xdr:row>293</xdr:row>
      <xdr:rowOff>40822</xdr:rowOff>
    </xdr:from>
    <xdr:to>
      <xdr:col>9</xdr:col>
      <xdr:colOff>748393</xdr:colOff>
      <xdr:row>305</xdr:row>
      <xdr:rowOff>54429</xdr:rowOff>
    </xdr:to>
    <xdr:graphicFrame macro="">
      <xdr:nvGraphicFramePr>
        <xdr:cNvPr id="31" name="Chart 5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63501</xdr:colOff>
      <xdr:row>301</xdr:row>
      <xdr:rowOff>204108</xdr:rowOff>
    </xdr:from>
    <xdr:to>
      <xdr:col>1</xdr:col>
      <xdr:colOff>1700894</xdr:colOff>
      <xdr:row>313</xdr:row>
      <xdr:rowOff>109161</xdr:rowOff>
    </xdr:to>
    <xdr:graphicFrame macro="">
      <xdr:nvGraphicFramePr>
        <xdr:cNvPr id="32" name="Chart 5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1753811</xdr:colOff>
      <xdr:row>301</xdr:row>
      <xdr:rowOff>204109</xdr:rowOff>
    </xdr:from>
    <xdr:to>
      <xdr:col>4</xdr:col>
      <xdr:colOff>973667</xdr:colOff>
      <xdr:row>313</xdr:row>
      <xdr:rowOff>109162</xdr:rowOff>
    </xdr:to>
    <xdr:graphicFrame macro="">
      <xdr:nvGraphicFramePr>
        <xdr:cNvPr id="33" name="Chart 5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78619</xdr:colOff>
      <xdr:row>313</xdr:row>
      <xdr:rowOff>136070</xdr:rowOff>
    </xdr:from>
    <xdr:to>
      <xdr:col>1</xdr:col>
      <xdr:colOff>1714500</xdr:colOff>
      <xdr:row>325</xdr:row>
      <xdr:rowOff>81641</xdr:rowOff>
    </xdr:to>
    <xdr:graphicFrame macro="">
      <xdr:nvGraphicFramePr>
        <xdr:cNvPr id="34" name="Chart 5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1755323</xdr:colOff>
      <xdr:row>313</xdr:row>
      <xdr:rowOff>136073</xdr:rowOff>
    </xdr:from>
    <xdr:to>
      <xdr:col>4</xdr:col>
      <xdr:colOff>980168</xdr:colOff>
      <xdr:row>325</xdr:row>
      <xdr:rowOff>80888</xdr:rowOff>
    </xdr:to>
    <xdr:graphicFrame macro="">
      <xdr:nvGraphicFramePr>
        <xdr:cNvPr id="35" name="Chart 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39307</xdr:colOff>
      <xdr:row>327</xdr:row>
      <xdr:rowOff>204108</xdr:rowOff>
    </xdr:from>
    <xdr:to>
      <xdr:col>1</xdr:col>
      <xdr:colOff>1640414</xdr:colOff>
      <xdr:row>340</xdr:row>
      <xdr:rowOff>13606</xdr:rowOff>
    </xdr:to>
    <xdr:graphicFrame macro="">
      <xdr:nvGraphicFramePr>
        <xdr:cNvPr id="36" name="Chart 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1805667</xdr:colOff>
      <xdr:row>327</xdr:row>
      <xdr:rowOff>209551</xdr:rowOff>
    </xdr:from>
    <xdr:to>
      <xdr:col>4</xdr:col>
      <xdr:colOff>1061355</xdr:colOff>
      <xdr:row>340</xdr:row>
      <xdr:rowOff>0</xdr:rowOff>
    </xdr:to>
    <xdr:graphicFrame macro="">
      <xdr:nvGraphicFramePr>
        <xdr:cNvPr id="37" name="Chart 5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343</xdr:row>
      <xdr:rowOff>54430</xdr:rowOff>
    </xdr:from>
    <xdr:to>
      <xdr:col>1</xdr:col>
      <xdr:colOff>1572676</xdr:colOff>
      <xdr:row>355</xdr:row>
      <xdr:rowOff>81642</xdr:rowOff>
    </xdr:to>
    <xdr:graphicFrame macro="">
      <xdr:nvGraphicFramePr>
        <xdr:cNvPr id="42" name="Chart 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1739144</xdr:colOff>
      <xdr:row>343</xdr:row>
      <xdr:rowOff>127909</xdr:rowOff>
    </xdr:from>
    <xdr:to>
      <xdr:col>4</xdr:col>
      <xdr:colOff>966106</xdr:colOff>
      <xdr:row>355</xdr:row>
      <xdr:rowOff>136072</xdr:rowOff>
    </xdr:to>
    <xdr:graphicFrame macro="">
      <xdr:nvGraphicFramePr>
        <xdr:cNvPr id="43" name="Chart 5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663346</xdr:colOff>
      <xdr:row>229</xdr:row>
      <xdr:rowOff>25512</xdr:rowOff>
    </xdr:from>
    <xdr:to>
      <xdr:col>11</xdr:col>
      <xdr:colOff>380999</xdr:colOff>
      <xdr:row>245</xdr:row>
      <xdr:rowOff>25512</xdr:rowOff>
    </xdr:to>
    <xdr:graphicFrame macro="">
      <xdr:nvGraphicFramePr>
        <xdr:cNvPr id="38" name="Chart 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823234</xdr:colOff>
      <xdr:row>229</xdr:row>
      <xdr:rowOff>54429</xdr:rowOff>
    </xdr:from>
    <xdr:to>
      <xdr:col>6</xdr:col>
      <xdr:colOff>130629</xdr:colOff>
      <xdr:row>245</xdr:row>
      <xdr:rowOff>66336</xdr:rowOff>
    </xdr:to>
    <xdr:graphicFrame macro="">
      <xdr:nvGraphicFramePr>
        <xdr:cNvPr id="39" name="Chart 6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750094</xdr:colOff>
      <xdr:row>229</xdr:row>
      <xdr:rowOff>119064</xdr:rowOff>
    </xdr:from>
    <xdr:to>
      <xdr:col>2</xdr:col>
      <xdr:colOff>353786</xdr:colOff>
      <xdr:row>245</xdr:row>
      <xdr:rowOff>119062</xdr:rowOff>
    </xdr:to>
    <xdr:graphicFrame macro="">
      <xdr:nvGraphicFramePr>
        <xdr:cNvPr id="40" name="Chart 6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0.27774</cdr:x>
      <cdr:y>0.91696</cdr:y>
    </cdr:from>
    <cdr:to>
      <cdr:x>0.72772</cdr:x>
      <cdr:y>0.99524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0635" y="3056904"/>
          <a:ext cx="1442990" cy="260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E2E069E-1E27-4847-B978-11753DEF8D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0.00145</cdr:x>
      <cdr:y>0.13242</cdr:y>
    </cdr:from>
    <cdr:to>
      <cdr:x>0.04813</cdr:x>
      <cdr:y>0.7032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71914" y="1318029"/>
          <a:ext cx="1902839" cy="149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0.39641</cdr:x>
      <cdr:y>0.90867</cdr:y>
    </cdr:from>
    <cdr:to>
      <cdr:x>0.75535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9545" y="2870604"/>
          <a:ext cx="1430241" cy="288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0.11583</cdr:y>
    </cdr:from>
    <cdr:to>
      <cdr:x>0.05897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784080" y="1150002"/>
          <a:ext cx="1803134" cy="234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0.01641</cdr:x>
      <cdr:y>0.11354</cdr:y>
    </cdr:from>
    <cdr:to>
      <cdr:x>0.06138</cdr:x>
      <cdr:y>0.68431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715717" y="1130516"/>
          <a:ext cx="1748768" cy="183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0.41221</cdr:x>
      <cdr:y>0.89955</cdr:y>
    </cdr:from>
    <cdr:to>
      <cdr:x>0.757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81752" y="2756109"/>
          <a:ext cx="1406700" cy="30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0.01641</cdr:x>
      <cdr:y>0.11354</cdr:y>
    </cdr:from>
    <cdr:to>
      <cdr:x>0.06138</cdr:x>
      <cdr:y>0.68431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715717" y="1130516"/>
          <a:ext cx="1748768" cy="183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0.41221</cdr:x>
      <cdr:y>0.89955</cdr:y>
    </cdr:from>
    <cdr:to>
      <cdr:x>0.757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81752" y="2756109"/>
          <a:ext cx="1406700" cy="30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0.37237</cdr:x>
      <cdr:y>0.90867</cdr:y>
    </cdr:from>
    <cdr:to>
      <cdr:x>0.73131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5485" y="3404332"/>
          <a:ext cx="1422263" cy="342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0.41134</cdr:x>
      <cdr:y>0.89988</cdr:y>
    </cdr:from>
    <cdr:to>
      <cdr:x>0.96573</cdr:x>
      <cdr:y>0.96832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17850" y="2705780"/>
          <a:ext cx="1776161" cy="2058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E709A663-ECEE-4B8D-BA59-5C6F1B845A8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0.37237</cdr:x>
      <cdr:y>0.90867</cdr:y>
    </cdr:from>
    <cdr:to>
      <cdr:x>0.73131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5485" y="3404332"/>
          <a:ext cx="1422263" cy="342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AFFA937-AA75-49E3-A3DE-09BF64FFD52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0.37237</cdr:x>
      <cdr:y>0.90867</cdr:y>
    </cdr:from>
    <cdr:to>
      <cdr:x>0.73131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5485" y="3404332"/>
          <a:ext cx="1422263" cy="342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59B217F9-BC63-45C0-82AD-0DE349C5F76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0.37237</cdr:x>
      <cdr:y>0.90867</cdr:y>
    </cdr:from>
    <cdr:to>
      <cdr:x>0.73131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5485" y="3404332"/>
          <a:ext cx="1422263" cy="342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2085366-4C2D-4E5B-8746-D7B0F212A68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0.27774</cdr:x>
      <cdr:y>0.91696</cdr:y>
    </cdr:from>
    <cdr:to>
      <cdr:x>0.72772</cdr:x>
      <cdr:y>0.99524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0635" y="3056904"/>
          <a:ext cx="1442990" cy="260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12A19D7-EEA6-43FC-895C-409ACA97D4D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0.00145</cdr:x>
      <cdr:y>0.13242</cdr:y>
    </cdr:from>
    <cdr:to>
      <cdr:x>0.04813</cdr:x>
      <cdr:y>0.7032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71914" y="1318029"/>
          <a:ext cx="1902839" cy="149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F1A51AE-008E-411A-865B-9CC6DA472E3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8E6625E-AEB1-4ED9-BDD1-336952348D0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3D1885A-07FF-44E2-845D-CFC40693D7D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0.28285</cdr:x>
      <cdr:y>0.89931</cdr:y>
    </cdr:from>
    <cdr:to>
      <cdr:x>0.75803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45506" y="2410962"/>
          <a:ext cx="1588447" cy="26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0580726-9842-4867-9432-365E0372B69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0.30887</cdr:x>
      <cdr:y>0.89423</cdr:y>
    </cdr:from>
    <cdr:to>
      <cdr:x>0.79204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67289" y="2366930"/>
          <a:ext cx="1669559" cy="279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410A0DE-51C9-4F41-B79A-FEBE59D1BE9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0.30865</cdr:x>
      <cdr:y>0.92134</cdr:y>
    </cdr:from>
    <cdr:to>
      <cdr:x>0.79754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63262" y="2438698"/>
          <a:ext cx="1684171" cy="208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60980C7-9857-4DFF-B236-9964CA077B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0.2384</cdr:x>
      <cdr:y>0.89925</cdr:y>
    </cdr:from>
    <cdr:to>
      <cdr:x>0.753</cdr:x>
      <cdr:y>0.98134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98818" y="2295525"/>
          <a:ext cx="1724247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3939503-15A6-42ED-87E5-3153D50F9A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0.364</cdr:x>
      <cdr:y>0.89423</cdr:y>
    </cdr:from>
    <cdr:to>
      <cdr:x>0.82236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57789" y="2264719"/>
          <a:ext cx="1583835" cy="26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6B61DD5-51BE-4DA2-8F72-1461BDA9A2B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0.30312</cdr:x>
      <cdr:y>0.89423</cdr:y>
    </cdr:from>
    <cdr:to>
      <cdr:x>0.77542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44213" y="2264719"/>
          <a:ext cx="1627020" cy="26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0E561E0-83FD-42FD-A787-EE186077C2E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0.34822</cdr:x>
      <cdr:y>0.90526</cdr:y>
    </cdr:from>
    <cdr:to>
      <cdr:x>0.76392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4059" y="2340430"/>
          <a:ext cx="1449327" cy="244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6CAB38B-DB4C-44B3-8E2B-59090ADA4D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0.29708</cdr:x>
      <cdr:y>0.89423</cdr:y>
    </cdr:from>
    <cdr:to>
      <cdr:x>0.83771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7108" y="2261880"/>
          <a:ext cx="1850975" cy="267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2C9BB2C-F97D-499F-933C-F6FE6C07EB8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0.23697</cdr:x>
      <cdr:y>0.91753</cdr:y>
    </cdr:from>
    <cdr:to>
      <cdr:x>0.69877</cdr:x>
      <cdr:y>0.98969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7942" y="2422071"/>
          <a:ext cx="15939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414CE40-CFCD-43BA-9622-3F7621C743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F85B858-F2DD-40AA-A7FB-4A2B852E49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0.32501</cdr:x>
      <cdr:y>0.91693</cdr:y>
    </cdr:from>
    <cdr:to>
      <cdr:x>0.76728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33475" y="2403022"/>
          <a:ext cx="1542422" cy="217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0670357-4B2D-4662-A10F-1B77A2F530C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0.23697</cdr:x>
      <cdr:y>0.91753</cdr:y>
    </cdr:from>
    <cdr:to>
      <cdr:x>0.69877</cdr:x>
      <cdr:y>0.98969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7942" y="2422071"/>
          <a:ext cx="15939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0.00615</cdr:x>
      <cdr:y>0.01231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6148B09-0FBF-4B8F-89AB-5C305B6E61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0.08425</cdr:y>
    </cdr:from>
    <cdr:to>
      <cdr:x>0</cdr:x>
      <cdr:y>0.08425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81013" y="690564"/>
          <a:ext cx="1247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0.32501</cdr:x>
      <cdr:y>0.91693</cdr:y>
    </cdr:from>
    <cdr:to>
      <cdr:x>0.76728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33475" y="2403022"/>
          <a:ext cx="1542422" cy="217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Catchment Area(Km2)</a:t>
          </a: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0.30872</cdr:x>
      <cdr:y>0.89834</cdr:y>
    </cdr:from>
    <cdr:to>
      <cdr:x>0.85052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770" y="2857921"/>
          <a:ext cx="1668605" cy="323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65B624F1-06EF-4983-BB61-58C8A87C86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0.06256</cdr:y>
    </cdr:from>
    <cdr:to>
      <cdr:x>0.04668</cdr:x>
      <cdr:y>0.63334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836044" y="1035068"/>
          <a:ext cx="1815851" cy="14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0.3676</cdr:x>
      <cdr:y>0.88887</cdr:y>
    </cdr:from>
    <cdr:to>
      <cdr:x>0.83302</cdr:x>
      <cdr:y>0.97525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3149" y="2850377"/>
          <a:ext cx="1548626" cy="276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0.01131</cdr:x>
      <cdr:y>0.05592</cdr:y>
    </cdr:from>
    <cdr:to>
      <cdr:x>0.05628</cdr:x>
      <cdr:y>0.62669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11750" y="1037682"/>
          <a:ext cx="1875621" cy="16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0.2409</cdr:x>
      <cdr:y>0.89855</cdr:y>
    </cdr:from>
    <cdr:to>
      <cdr:x>0.84681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712" y="2952749"/>
          <a:ext cx="2260412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13</xdr:row>
      <xdr:rowOff>19050</xdr:rowOff>
    </xdr:from>
    <xdr:to>
      <xdr:col>29</xdr:col>
      <xdr:colOff>295275</xdr:colOff>
      <xdr:row>25</xdr:row>
      <xdr:rowOff>47625</xdr:rowOff>
    </xdr:to>
    <xdr:graphicFrame macro="">
      <xdr:nvGraphicFramePr>
        <xdr:cNvPr id="14593066" name="Chart 6">
          <a:extLst>
            <a:ext uri="{FF2B5EF4-FFF2-40B4-BE49-F238E27FC236}">
              <a16:creationId xmlns:a16="http://schemas.microsoft.com/office/drawing/2014/main" id="{00000000-0008-0000-0700-00002AACD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19050</xdr:rowOff>
    </xdr:from>
    <xdr:to>
      <xdr:col>18</xdr:col>
      <xdr:colOff>352425</xdr:colOff>
      <xdr:row>25</xdr:row>
      <xdr:rowOff>47625</xdr:rowOff>
    </xdr:to>
    <xdr:graphicFrame macro="">
      <xdr:nvGraphicFramePr>
        <xdr:cNvPr id="14593067" name="Chart 6">
          <a:extLst>
            <a:ext uri="{FF2B5EF4-FFF2-40B4-BE49-F238E27FC236}">
              <a16:creationId xmlns:a16="http://schemas.microsoft.com/office/drawing/2014/main" id="{00000000-0008-0000-0700-00002BACD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13</xdr:row>
      <xdr:rowOff>9525</xdr:rowOff>
    </xdr:from>
    <xdr:to>
      <xdr:col>22</xdr:col>
      <xdr:colOff>76200</xdr:colOff>
      <xdr:row>25</xdr:row>
      <xdr:rowOff>38100</xdr:rowOff>
    </xdr:to>
    <xdr:graphicFrame macro="">
      <xdr:nvGraphicFramePr>
        <xdr:cNvPr id="14593068" name="Chart 6">
          <a:extLst>
            <a:ext uri="{FF2B5EF4-FFF2-40B4-BE49-F238E27FC236}">
              <a16:creationId xmlns:a16="http://schemas.microsoft.com/office/drawing/2014/main" id="{00000000-0008-0000-0700-00002CACD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0.38783</cdr:x>
      <cdr:y>0.82648</cdr:y>
    </cdr:from>
    <cdr:to>
      <cdr:x>0.70532</cdr:x>
      <cdr:y>0.91781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100" y="1724025"/>
          <a:ext cx="15906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0.00487</cdr:x>
      <cdr:y>0.01169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57D2386-35FE-4844-9728-5FFFBE88640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0.06464</cdr:x>
      <cdr:y>0.13242</cdr:y>
    </cdr:from>
    <cdr:to>
      <cdr:x>0.10646</cdr:x>
      <cdr:y>0.7032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66687" y="766763"/>
          <a:ext cx="11906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0.38202</cdr:x>
      <cdr:y>0.85388</cdr:y>
    </cdr:from>
    <cdr:to>
      <cdr:x>0.7573</cdr:x>
      <cdr:y>0.94521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781175"/>
          <a:ext cx="15906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0.06629</cdr:x>
      <cdr:y>0.12329</cdr:y>
    </cdr:from>
    <cdr:to>
      <cdr:x>0.11573</cdr:x>
      <cdr:y>0.69406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209550" y="747713"/>
          <a:ext cx="11906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0.06113</cdr:x>
      <cdr:y>0.11872</cdr:y>
    </cdr:from>
    <cdr:to>
      <cdr:x>0.09804</cdr:x>
      <cdr:y>0.68949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54204" y="763858"/>
          <a:ext cx="1190612" cy="158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Discharge(m3/s)</a:t>
          </a:r>
        </a:p>
      </cdr:txBody>
    </cdr:sp>
  </cdr:relSizeAnchor>
  <cdr:relSizeAnchor xmlns:cdr="http://schemas.openxmlformats.org/drawingml/2006/chartDrawing">
    <cdr:from>
      <cdr:x>0.40436</cdr:x>
      <cdr:y>0.81279</cdr:y>
    </cdr:from>
    <cdr:to>
      <cdr:x>0.77111</cdr:x>
      <cdr:y>0.91324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33188" y="1695460"/>
          <a:ext cx="1571987" cy="20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Return Period (Years)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0.37237</cdr:x>
      <cdr:y>0.90867</cdr:y>
    </cdr:from>
    <cdr:to>
      <cdr:x>0.73131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5485" y="3404332"/>
          <a:ext cx="1422263" cy="342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Return Period (Years)</a:t>
          </a:r>
        </a:p>
      </cdr:txBody>
    </cdr:sp>
  </cdr:relSizeAnchor>
  <cdr:relSizeAnchor xmlns:cdr="http://schemas.openxmlformats.org/drawingml/2006/chartDrawing">
    <cdr:from>
      <cdr:x>0.01484</cdr:x>
      <cdr:y>0.11583</cdr:y>
    </cdr:from>
    <cdr:to>
      <cdr:x>0.07381</cdr:x>
      <cdr:y>0.6866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26071" y="1431483"/>
          <a:ext cx="2185506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Discharge(m3/s)</a:t>
          </a:r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4</xdr:row>
      <xdr:rowOff>76200</xdr:rowOff>
    </xdr:from>
    <xdr:to>
      <xdr:col>18</xdr:col>
      <xdr:colOff>104775</xdr:colOff>
      <xdr:row>21</xdr:row>
      <xdr:rowOff>180975</xdr:rowOff>
    </xdr:to>
    <xdr:pic>
      <xdr:nvPicPr>
        <xdr:cNvPr id="12343381" name="Picture 1">
          <a:extLst>
            <a:ext uri="{FF2B5EF4-FFF2-40B4-BE49-F238E27FC236}">
              <a16:creationId xmlns:a16="http://schemas.microsoft.com/office/drawing/2014/main" id="{00000000-0008-0000-0D00-00005558B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01" t="4637" r="16141" b="36742"/>
        <a:stretch>
          <a:fillRect/>
        </a:stretch>
      </xdr:blipFill>
      <xdr:spPr bwMode="auto">
        <a:xfrm>
          <a:off x="6877050" y="838200"/>
          <a:ext cx="5295900" cy="337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E56"/>
  <sheetViews>
    <sheetView view="pageBreakPreview" zoomScale="70" zoomScaleNormal="100" zoomScaleSheetLayoutView="70" workbookViewId="0">
      <selection activeCell="G8" sqref="G8"/>
    </sheetView>
  </sheetViews>
  <sheetFormatPr defaultRowHeight="17.25" x14ac:dyDescent="0.35"/>
  <cols>
    <col min="1" max="1" width="30" style="213" customWidth="1"/>
    <col min="2" max="2" width="21.85546875" style="213" customWidth="1"/>
    <col min="3" max="3" width="13.5703125" style="213" customWidth="1"/>
    <col min="4" max="4" width="13.42578125" style="213" customWidth="1"/>
    <col min="5" max="5" width="37.5703125" style="213" customWidth="1"/>
    <col min="6" max="16384" width="9.140625" style="213"/>
  </cols>
  <sheetData>
    <row r="1" spans="1:5" x14ac:dyDescent="0.35">
      <c r="A1" s="325" t="s">
        <v>65</v>
      </c>
      <c r="B1" s="325"/>
      <c r="C1" s="325"/>
      <c r="D1" s="325"/>
      <c r="E1" s="325"/>
    </row>
    <row r="2" spans="1:5" x14ac:dyDescent="0.35">
      <c r="A2" s="214" t="s">
        <v>157</v>
      </c>
      <c r="B2" s="214" t="s">
        <v>156</v>
      </c>
      <c r="C2" s="214"/>
      <c r="D2" s="214"/>
      <c r="E2" s="214"/>
    </row>
    <row r="3" spans="1:5" x14ac:dyDescent="0.35">
      <c r="A3" s="215" t="s">
        <v>155</v>
      </c>
      <c r="B3" s="215" t="s">
        <v>159</v>
      </c>
      <c r="C3" s="215"/>
      <c r="D3" s="215"/>
      <c r="E3" s="215"/>
    </row>
    <row r="4" spans="1:5" x14ac:dyDescent="0.35">
      <c r="A4" s="215"/>
      <c r="B4" s="215"/>
      <c r="C4" s="215"/>
      <c r="D4" s="215"/>
      <c r="E4" s="215"/>
    </row>
    <row r="5" spans="1:5" x14ac:dyDescent="0.35">
      <c r="A5" s="215" t="s">
        <v>153</v>
      </c>
      <c r="B5" s="216">
        <v>43340</v>
      </c>
      <c r="C5" s="216"/>
      <c r="D5" s="217"/>
      <c r="E5" s="215"/>
    </row>
    <row r="6" spans="1:5" x14ac:dyDescent="0.35">
      <c r="A6" s="215" t="s">
        <v>152</v>
      </c>
      <c r="B6" s="215"/>
      <c r="C6" s="215"/>
      <c r="D6" s="215"/>
      <c r="E6" s="215"/>
    </row>
    <row r="7" spans="1:5" x14ac:dyDescent="0.35">
      <c r="B7" s="218" t="s">
        <v>31</v>
      </c>
      <c r="C7" s="219"/>
      <c r="D7" s="218" t="s">
        <v>101</v>
      </c>
    </row>
    <row r="8" spans="1:5" ht="36" x14ac:dyDescent="0.35">
      <c r="A8" s="220" t="s">
        <v>160</v>
      </c>
      <c r="B8" s="220" t="s">
        <v>161</v>
      </c>
      <c r="C8" s="221" t="s">
        <v>162</v>
      </c>
      <c r="D8" s="221" t="s">
        <v>163</v>
      </c>
      <c r="E8" s="221" t="s">
        <v>164</v>
      </c>
    </row>
    <row r="9" spans="1:5" ht="34.5" x14ac:dyDescent="0.35">
      <c r="A9" s="222" t="s">
        <v>165</v>
      </c>
      <c r="B9" s="223">
        <v>1300</v>
      </c>
      <c r="C9" s="223">
        <v>3500</v>
      </c>
      <c r="D9" s="224">
        <f t="shared" ref="D9:D27" si="0">+C9/B9</f>
        <v>2.6923076923076925</v>
      </c>
      <c r="E9" s="222" t="s">
        <v>166</v>
      </c>
    </row>
    <row r="10" spans="1:5" ht="34.5" x14ac:dyDescent="0.35">
      <c r="A10" s="222" t="s">
        <v>167</v>
      </c>
      <c r="B10" s="223">
        <v>1950</v>
      </c>
      <c r="C10" s="223">
        <v>11200</v>
      </c>
      <c r="D10" s="224">
        <f t="shared" si="0"/>
        <v>5.7435897435897436</v>
      </c>
      <c r="E10" s="222" t="s">
        <v>168</v>
      </c>
    </row>
    <row r="11" spans="1:5" ht="34.5" x14ac:dyDescent="0.35">
      <c r="A11" s="222" t="s">
        <v>169</v>
      </c>
      <c r="B11" s="223">
        <v>450</v>
      </c>
      <c r="C11" s="223">
        <v>6254</v>
      </c>
      <c r="D11" s="224">
        <f>+C11/B11</f>
        <v>13.897777777777778</v>
      </c>
      <c r="E11" s="222" t="s">
        <v>170</v>
      </c>
    </row>
    <row r="12" spans="1:5" ht="34.5" x14ac:dyDescent="0.35">
      <c r="A12" s="222" t="s">
        <v>171</v>
      </c>
      <c r="B12" s="223">
        <v>12560</v>
      </c>
      <c r="C12" s="223">
        <v>33500</v>
      </c>
      <c r="D12" s="224">
        <f t="shared" si="0"/>
        <v>2.6671974522292992</v>
      </c>
      <c r="E12" s="222" t="s">
        <v>172</v>
      </c>
    </row>
    <row r="13" spans="1:5" ht="34.5" x14ac:dyDescent="0.35">
      <c r="A13" s="222" t="s">
        <v>173</v>
      </c>
      <c r="B13" s="223">
        <v>8051</v>
      </c>
      <c r="C13" s="223">
        <v>30842</v>
      </c>
      <c r="D13" s="224">
        <f t="shared" si="0"/>
        <v>3.8308284685132281</v>
      </c>
      <c r="E13" s="222" t="s">
        <v>174</v>
      </c>
    </row>
    <row r="14" spans="1:5" ht="34.5" x14ac:dyDescent="0.35">
      <c r="A14" s="222" t="s">
        <v>175</v>
      </c>
      <c r="B14" s="223">
        <v>31773</v>
      </c>
      <c r="C14" s="223">
        <v>42475</v>
      </c>
      <c r="D14" s="224">
        <f t="shared" si="0"/>
        <v>1.3368268655776918</v>
      </c>
      <c r="E14" s="222" t="s">
        <v>176</v>
      </c>
    </row>
    <row r="15" spans="1:5" ht="34.5" x14ac:dyDescent="0.35">
      <c r="A15" s="222" t="s">
        <v>177</v>
      </c>
      <c r="B15" s="223">
        <v>550</v>
      </c>
      <c r="C15" s="223">
        <v>4400</v>
      </c>
      <c r="D15" s="224">
        <f t="shared" si="0"/>
        <v>8</v>
      </c>
      <c r="E15" s="222" t="s">
        <v>178</v>
      </c>
    </row>
    <row r="16" spans="1:5" ht="34.5" x14ac:dyDescent="0.35">
      <c r="A16" s="222" t="s">
        <v>179</v>
      </c>
      <c r="B16" s="223">
        <v>1120</v>
      </c>
      <c r="C16" s="223">
        <v>5800</v>
      </c>
      <c r="D16" s="224">
        <f t="shared" si="0"/>
        <v>5.1785714285714288</v>
      </c>
      <c r="E16" s="222" t="s">
        <v>178</v>
      </c>
    </row>
    <row r="17" spans="1:5" ht="34.5" x14ac:dyDescent="0.35">
      <c r="A17" s="222" t="s">
        <v>180</v>
      </c>
      <c r="B17" s="223">
        <v>1400</v>
      </c>
      <c r="C17" s="223">
        <v>8100</v>
      </c>
      <c r="D17" s="224">
        <f t="shared" si="0"/>
        <v>5.7857142857142856</v>
      </c>
      <c r="E17" s="222" t="s">
        <v>181</v>
      </c>
    </row>
    <row r="18" spans="1:5" ht="34.5" x14ac:dyDescent="0.35">
      <c r="A18" s="222" t="s">
        <v>182</v>
      </c>
      <c r="B18" s="223">
        <v>2080</v>
      </c>
      <c r="C18" s="223">
        <v>10800</v>
      </c>
      <c r="D18" s="224">
        <f t="shared" si="0"/>
        <v>5.1923076923076925</v>
      </c>
      <c r="E18" s="222" t="s">
        <v>181</v>
      </c>
    </row>
    <row r="19" spans="1:5" ht="34.5" x14ac:dyDescent="0.35">
      <c r="A19" s="222" t="s">
        <v>183</v>
      </c>
      <c r="B19" s="223">
        <v>126</v>
      </c>
      <c r="C19" s="223">
        <v>2470</v>
      </c>
      <c r="D19" s="224">
        <f t="shared" si="0"/>
        <v>19.603174603174605</v>
      </c>
      <c r="E19" s="222" t="s">
        <v>184</v>
      </c>
    </row>
    <row r="20" spans="1:5" x14ac:dyDescent="0.35">
      <c r="A20" s="222" t="s">
        <v>185</v>
      </c>
      <c r="B20" s="223">
        <v>3850</v>
      </c>
      <c r="C20" s="223">
        <v>12300</v>
      </c>
      <c r="D20" s="224">
        <f t="shared" si="0"/>
        <v>3.1948051948051948</v>
      </c>
      <c r="E20" s="222" t="s">
        <v>186</v>
      </c>
    </row>
    <row r="21" spans="1:5" ht="34.5" x14ac:dyDescent="0.35">
      <c r="A21" s="225" t="s">
        <v>187</v>
      </c>
      <c r="B21" s="223">
        <v>31100</v>
      </c>
      <c r="C21" s="223">
        <v>33000</v>
      </c>
      <c r="D21" s="224">
        <f t="shared" si="0"/>
        <v>1.0610932475884245</v>
      </c>
      <c r="E21" s="222" t="s">
        <v>188</v>
      </c>
    </row>
    <row r="22" spans="1:5" ht="34.5" x14ac:dyDescent="0.35">
      <c r="A22" s="222" t="s">
        <v>189</v>
      </c>
      <c r="B22" s="223">
        <v>42725</v>
      </c>
      <c r="C22" s="223">
        <v>63100</v>
      </c>
      <c r="D22" s="224">
        <f t="shared" si="0"/>
        <v>1.4768870684610884</v>
      </c>
      <c r="E22" s="222" t="s">
        <v>190</v>
      </c>
    </row>
    <row r="23" spans="1:5" ht="34.5" x14ac:dyDescent="0.35">
      <c r="A23" s="222" t="s">
        <v>191</v>
      </c>
      <c r="B23" s="223">
        <v>3500</v>
      </c>
      <c r="C23" s="223">
        <v>14600</v>
      </c>
      <c r="D23" s="224">
        <f t="shared" si="0"/>
        <v>4.1714285714285717</v>
      </c>
      <c r="E23" s="222" t="s">
        <v>192</v>
      </c>
    </row>
    <row r="24" spans="1:5" ht="34.5" x14ac:dyDescent="0.35">
      <c r="A24" s="222" t="s">
        <v>193</v>
      </c>
      <c r="B24" s="223">
        <v>20700</v>
      </c>
      <c r="C24" s="223">
        <v>23389</v>
      </c>
      <c r="D24" s="224">
        <f t="shared" si="0"/>
        <v>1.1299033816425121</v>
      </c>
      <c r="E24" s="222" t="s">
        <v>194</v>
      </c>
    </row>
    <row r="25" spans="1:5" ht="34.5" x14ac:dyDescent="0.35">
      <c r="A25" s="222" t="s">
        <v>195</v>
      </c>
      <c r="B25" s="223">
        <v>21342</v>
      </c>
      <c r="C25" s="223">
        <v>24528</v>
      </c>
      <c r="D25" s="224">
        <f t="shared" si="0"/>
        <v>1.149283103739106</v>
      </c>
      <c r="E25" s="222" t="s">
        <v>194</v>
      </c>
    </row>
    <row r="26" spans="1:5" ht="34.5" x14ac:dyDescent="0.35">
      <c r="A26" s="222" t="s">
        <v>196</v>
      </c>
      <c r="B26" s="223">
        <v>1336</v>
      </c>
      <c r="C26" s="223">
        <v>4080</v>
      </c>
      <c r="D26" s="224">
        <f t="shared" si="0"/>
        <v>3.0538922155688621</v>
      </c>
      <c r="E26" s="222" t="s">
        <v>194</v>
      </c>
    </row>
    <row r="27" spans="1:5" ht="34.5" x14ac:dyDescent="0.35">
      <c r="A27" s="222" t="s">
        <v>197</v>
      </c>
      <c r="B27" s="223">
        <v>737</v>
      </c>
      <c r="C27" s="223">
        <v>2980</v>
      </c>
      <c r="D27" s="224">
        <f t="shared" si="0"/>
        <v>4.0434192672998641</v>
      </c>
      <c r="E27" s="222" t="s">
        <v>194</v>
      </c>
    </row>
    <row r="29" spans="1:5" x14ac:dyDescent="0.35">
      <c r="A29" s="226" t="s">
        <v>198</v>
      </c>
    </row>
    <row r="31" spans="1:5" x14ac:dyDescent="0.35">
      <c r="A31" s="227" t="s">
        <v>199</v>
      </c>
    </row>
    <row r="33" spans="1:3" ht="18.75" x14ac:dyDescent="0.35">
      <c r="A33" s="228" t="s">
        <v>200</v>
      </c>
      <c r="B33" s="229">
        <v>3250</v>
      </c>
      <c r="C33" s="229" t="s">
        <v>104</v>
      </c>
    </row>
    <row r="34" spans="1:3" ht="18.75" x14ac:dyDescent="0.35">
      <c r="A34" s="228" t="s">
        <v>201</v>
      </c>
      <c r="B34" s="229">
        <v>6050</v>
      </c>
      <c r="C34" s="229" t="s">
        <v>104</v>
      </c>
    </row>
    <row r="36" spans="1:3" x14ac:dyDescent="0.35">
      <c r="A36" s="229" t="s">
        <v>202</v>
      </c>
      <c r="B36" s="230">
        <f>131.25*$B$33^-0.447</f>
        <v>3.5341701114329767</v>
      </c>
      <c r="C36" s="229"/>
    </row>
    <row r="37" spans="1:3" x14ac:dyDescent="0.35">
      <c r="A37" s="229" t="s">
        <v>203</v>
      </c>
      <c r="B37" s="230">
        <f>131.25*$B$34^-0.447</f>
        <v>2.6770387622378071</v>
      </c>
      <c r="C37" s="229"/>
    </row>
    <row r="39" spans="1:3" x14ac:dyDescent="0.35">
      <c r="A39" s="227" t="s">
        <v>204</v>
      </c>
    </row>
    <row r="40" spans="1:3" x14ac:dyDescent="0.35">
      <c r="A40" s="231" t="s">
        <v>205</v>
      </c>
    </row>
    <row r="41" spans="1:3" ht="18.75" x14ac:dyDescent="0.35">
      <c r="A41" s="229" t="s">
        <v>206</v>
      </c>
      <c r="B41" s="232">
        <f>+$B$36*$B$33</f>
        <v>11486.052862157174</v>
      </c>
      <c r="C41" s="229" t="s">
        <v>207</v>
      </c>
    </row>
    <row r="42" spans="1:3" ht="18.75" x14ac:dyDescent="0.35">
      <c r="A42" s="229" t="s">
        <v>208</v>
      </c>
      <c r="B42" s="232">
        <f>+$B$37*$B$34</f>
        <v>16196.084511538733</v>
      </c>
      <c r="C42" s="229" t="s">
        <v>207</v>
      </c>
    </row>
    <row r="43" spans="1:3" x14ac:dyDescent="0.35">
      <c r="A43" s="229"/>
      <c r="B43" s="233"/>
      <c r="C43" s="229"/>
    </row>
    <row r="44" spans="1:3" x14ac:dyDescent="0.35">
      <c r="A44" s="234" t="s">
        <v>209</v>
      </c>
      <c r="B44" s="233"/>
      <c r="C44" s="229"/>
    </row>
    <row r="45" spans="1:3" ht="18.75" x14ac:dyDescent="0.35">
      <c r="A45" s="229" t="s">
        <v>206</v>
      </c>
      <c r="B45" s="235">
        <v>12000</v>
      </c>
      <c r="C45" s="229" t="s">
        <v>207</v>
      </c>
    </row>
    <row r="46" spans="1:3" ht="18.75" x14ac:dyDescent="0.35">
      <c r="A46" s="229" t="s">
        <v>208</v>
      </c>
      <c r="B46" s="235">
        <v>16000</v>
      </c>
      <c r="C46" s="229" t="s">
        <v>207</v>
      </c>
    </row>
    <row r="47" spans="1:3" x14ac:dyDescent="0.35">
      <c r="A47" s="229"/>
      <c r="B47" s="229"/>
    </row>
    <row r="48" spans="1:3" x14ac:dyDescent="0.35">
      <c r="A48" s="227" t="s">
        <v>210</v>
      </c>
    </row>
    <row r="50" spans="1:4" ht="18.75" x14ac:dyDescent="0.35">
      <c r="A50" s="229" t="s">
        <v>211</v>
      </c>
      <c r="C50" s="229">
        <v>6394.8</v>
      </c>
      <c r="D50" s="229" t="s">
        <v>104</v>
      </c>
    </row>
    <row r="52" spans="1:4" x14ac:dyDescent="0.35">
      <c r="A52" s="229" t="s">
        <v>202</v>
      </c>
      <c r="B52" s="230">
        <f>131.25*$C$50^-0.447</f>
        <v>2.6115278290860617</v>
      </c>
      <c r="C52" s="229"/>
    </row>
    <row r="54" spans="1:4" x14ac:dyDescent="0.35">
      <c r="A54" s="227" t="s">
        <v>204</v>
      </c>
    </row>
    <row r="55" spans="1:4" ht="18.75" x14ac:dyDescent="0.35">
      <c r="A55" s="229" t="s">
        <v>206</v>
      </c>
      <c r="B55" s="233">
        <f>+$B$52*$C$50</f>
        <v>16700.198161439548</v>
      </c>
      <c r="C55" s="229" t="s">
        <v>207</v>
      </c>
    </row>
    <row r="56" spans="1:4" x14ac:dyDescent="0.35">
      <c r="A56" s="229"/>
      <c r="B56" s="229"/>
      <c r="C56" s="229"/>
    </row>
  </sheetData>
  <mergeCells count="1">
    <mergeCell ref="A1:E1"/>
  </mergeCells>
  <pageMargins left="0.7" right="0.7" top="0.75" bottom="0.75" header="0.3" footer="0.3"/>
  <pageSetup paperSize="9" scale="5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P85"/>
  <sheetViews>
    <sheetView topLeftCell="A4" workbookViewId="0">
      <selection activeCell="D17" sqref="D17"/>
    </sheetView>
  </sheetViews>
  <sheetFormatPr defaultRowHeight="13.5" x14ac:dyDescent="0.3"/>
  <cols>
    <col min="1" max="1" width="10.7109375" style="29" customWidth="1"/>
    <col min="2" max="2" width="12.42578125" style="29" customWidth="1"/>
    <col min="3" max="3" width="10.28515625" style="29" customWidth="1"/>
    <col min="4" max="4" width="20.5703125" style="29" customWidth="1"/>
    <col min="5" max="5" width="35.140625" style="29" bestFit="1" customWidth="1"/>
    <col min="6" max="6" width="9.28515625" style="29" customWidth="1"/>
    <col min="7" max="7" width="6.5703125" style="29" customWidth="1"/>
    <col min="8" max="8" width="7.140625" style="29" customWidth="1"/>
    <col min="9" max="9" width="8.5703125" style="29" bestFit="1" customWidth="1"/>
    <col min="10" max="10" width="7.5703125" style="29" customWidth="1"/>
    <col min="11" max="11" width="9.42578125" style="29" customWidth="1"/>
    <col min="12" max="12" width="8.85546875" style="29" customWidth="1"/>
    <col min="13" max="16384" width="9.140625" style="29"/>
  </cols>
  <sheetData>
    <row r="1" spans="1:16" ht="12.75" customHeight="1" x14ac:dyDescent="0.3">
      <c r="A1" s="61" t="s">
        <v>44</v>
      </c>
      <c r="B1" s="61"/>
      <c r="E1" s="28" t="s">
        <v>133</v>
      </c>
      <c r="F1" s="28"/>
      <c r="M1" s="61"/>
      <c r="N1" s="61"/>
      <c r="O1" s="61"/>
      <c r="P1" s="61"/>
    </row>
    <row r="2" spans="1:16" ht="12.75" customHeight="1" x14ac:dyDescent="0.3">
      <c r="A2" s="61" t="s">
        <v>63</v>
      </c>
      <c r="B2" s="61"/>
      <c r="E2" s="28" t="s">
        <v>134</v>
      </c>
      <c r="F2" s="28"/>
      <c r="M2" s="61"/>
      <c r="N2" s="61"/>
      <c r="O2" s="61"/>
      <c r="P2" s="61"/>
    </row>
    <row r="3" spans="1:16" ht="12.75" customHeight="1" x14ac:dyDescent="0.3">
      <c r="A3" s="26" t="s">
        <v>11</v>
      </c>
      <c r="B3" s="27" t="s">
        <v>132</v>
      </c>
      <c r="C3" s="26"/>
      <c r="D3" s="28"/>
      <c r="E3" s="28" t="s">
        <v>51</v>
      </c>
      <c r="M3" s="61"/>
      <c r="N3" s="61"/>
      <c r="O3" s="61"/>
      <c r="P3" s="61"/>
    </row>
    <row r="4" spans="1:16" ht="12.75" customHeight="1" x14ac:dyDescent="0.3">
      <c r="A4" s="26" t="s">
        <v>12</v>
      </c>
      <c r="B4" s="26" t="s">
        <v>45</v>
      </c>
      <c r="C4" s="26"/>
      <c r="D4" s="28"/>
      <c r="E4" s="28"/>
      <c r="M4" s="61"/>
      <c r="N4" s="61"/>
      <c r="O4" s="61"/>
      <c r="P4" s="61"/>
    </row>
    <row r="5" spans="1:16" ht="12.75" customHeight="1" x14ac:dyDescent="0.3">
      <c r="A5" s="26" t="s">
        <v>13</v>
      </c>
      <c r="B5" s="25">
        <v>43340</v>
      </c>
      <c r="C5" s="31"/>
      <c r="D5" s="28"/>
      <c r="E5" s="28"/>
      <c r="M5" s="61"/>
      <c r="N5" s="61"/>
      <c r="O5" s="61"/>
      <c r="P5" s="61"/>
    </row>
    <row r="6" spans="1:16" ht="12.75" customHeight="1" x14ac:dyDescent="0.3">
      <c r="A6" s="26" t="s">
        <v>42</v>
      </c>
      <c r="B6" s="25"/>
      <c r="C6" s="32" t="s">
        <v>248</v>
      </c>
      <c r="D6" s="28"/>
      <c r="E6" s="28"/>
      <c r="L6" s="30"/>
      <c r="M6" s="61"/>
      <c r="N6" s="61"/>
      <c r="O6" s="61"/>
      <c r="P6" s="61"/>
    </row>
    <row r="7" spans="1:16" ht="12.75" customHeight="1" x14ac:dyDescent="0.35">
      <c r="A7" s="26" t="s">
        <v>46</v>
      </c>
      <c r="B7" s="26"/>
      <c r="C7" s="67">
        <v>604.5</v>
      </c>
      <c r="D7" s="26"/>
      <c r="E7" s="26"/>
      <c r="F7" s="23"/>
      <c r="G7" s="23"/>
      <c r="L7" s="30"/>
      <c r="M7" s="61"/>
      <c r="N7" s="61"/>
      <c r="O7" s="61"/>
      <c r="P7" s="61"/>
    </row>
    <row r="8" spans="1:16" ht="12.75" customHeight="1" x14ac:dyDescent="0.35">
      <c r="A8" s="26" t="s">
        <v>47</v>
      </c>
      <c r="B8" s="26"/>
      <c r="C8" s="305" t="s">
        <v>249</v>
      </c>
      <c r="D8" s="26"/>
      <c r="E8" s="26"/>
      <c r="F8" s="23"/>
      <c r="G8" s="23"/>
      <c r="L8" s="30"/>
      <c r="M8" s="61"/>
      <c r="N8" s="61"/>
      <c r="O8" s="61"/>
      <c r="P8" s="61"/>
    </row>
    <row r="9" spans="1:16" ht="15" x14ac:dyDescent="0.3">
      <c r="A9" s="363" t="s">
        <v>14</v>
      </c>
      <c r="B9" s="363"/>
      <c r="C9" s="363"/>
    </row>
    <row r="10" spans="1:16" ht="15" x14ac:dyDescent="0.3">
      <c r="A10" s="33" t="s">
        <v>15</v>
      </c>
      <c r="B10" s="33" t="s">
        <v>16</v>
      </c>
      <c r="C10" s="33"/>
    </row>
    <row r="11" spans="1:16" ht="15" x14ac:dyDescent="0.3">
      <c r="A11" s="33"/>
      <c r="B11" s="34" t="s">
        <v>17</v>
      </c>
      <c r="C11" s="33" t="s">
        <v>18</v>
      </c>
    </row>
    <row r="12" spans="1:16" ht="15" x14ac:dyDescent="0.3">
      <c r="A12" s="80">
        <v>1975</v>
      </c>
      <c r="B12" s="98">
        <f>'Extreme data'!E22</f>
        <v>2170</v>
      </c>
      <c r="C12" s="82">
        <f>IF(B12="","",LOG(B12))</f>
        <v>3.3364597338485296</v>
      </c>
    </row>
    <row r="13" spans="1:16" ht="15" x14ac:dyDescent="0.3">
      <c r="A13" s="80">
        <v>1976</v>
      </c>
      <c r="B13" s="98">
        <f>'Extreme data'!E23</f>
        <v>2580</v>
      </c>
      <c r="C13" s="82">
        <f>IF(B13="","",LOG(B13))</f>
        <v>3.4116197059632301</v>
      </c>
    </row>
    <row r="14" spans="1:16" ht="15" x14ac:dyDescent="0.3">
      <c r="A14" s="80">
        <v>1977</v>
      </c>
      <c r="B14" s="98">
        <f>'Extreme data'!E24</f>
        <v>2740</v>
      </c>
      <c r="C14" s="82">
        <f t="shared" ref="C14:C43" si="0">IF(B14="","",LOG(B14))</f>
        <v>3.4377505628203879</v>
      </c>
    </row>
    <row r="15" spans="1:16" ht="15" x14ac:dyDescent="0.3">
      <c r="A15" s="80">
        <v>1978</v>
      </c>
      <c r="B15" s="98">
        <f>'Extreme data'!E25</f>
        <v>2260</v>
      </c>
      <c r="C15" s="82">
        <f t="shared" si="0"/>
        <v>3.3541084391474008</v>
      </c>
    </row>
    <row r="16" spans="1:16" ht="15" x14ac:dyDescent="0.3">
      <c r="A16" s="80">
        <v>1979</v>
      </c>
      <c r="B16" s="98">
        <f>'Extreme data'!E26</f>
        <v>3710</v>
      </c>
      <c r="C16" s="82">
        <f t="shared" si="0"/>
        <v>3.5693739096150461</v>
      </c>
    </row>
    <row r="17" spans="1:7" ht="15" x14ac:dyDescent="0.3">
      <c r="A17" s="80">
        <v>1980</v>
      </c>
      <c r="B17" s="98">
        <f>'Extreme data'!E27</f>
        <v>3220</v>
      </c>
      <c r="C17" s="82">
        <f t="shared" si="0"/>
        <v>3.5078558716958308</v>
      </c>
    </row>
    <row r="18" spans="1:7" ht="15" x14ac:dyDescent="0.3">
      <c r="A18" s="80">
        <v>1981</v>
      </c>
      <c r="B18" s="98">
        <f>'Extreme data'!E28</f>
        <v>3400</v>
      </c>
      <c r="C18" s="82">
        <f t="shared" si="0"/>
        <v>3.5314789170422549</v>
      </c>
    </row>
    <row r="19" spans="1:7" ht="15" x14ac:dyDescent="0.3">
      <c r="A19" s="80">
        <v>1982</v>
      </c>
      <c r="B19" s="98">
        <f>'Extreme data'!E29</f>
        <v>3890</v>
      </c>
      <c r="C19" s="82">
        <f t="shared" si="0"/>
        <v>3.5899496013257077</v>
      </c>
    </row>
    <row r="20" spans="1:7" ht="15" x14ac:dyDescent="0.3">
      <c r="A20" s="80">
        <v>1983</v>
      </c>
      <c r="B20" s="98">
        <f>'Extreme data'!E30</f>
        <v>4280</v>
      </c>
      <c r="C20" s="82">
        <f t="shared" si="0"/>
        <v>3.6314437690131722</v>
      </c>
    </row>
    <row r="21" spans="1:7" ht="15" x14ac:dyDescent="0.3">
      <c r="A21" s="80">
        <v>1984</v>
      </c>
      <c r="B21" s="98">
        <f>'Extreme data'!E31</f>
        <v>2410</v>
      </c>
      <c r="C21" s="82">
        <f t="shared" si="0"/>
        <v>3.3820170425748683</v>
      </c>
    </row>
    <row r="22" spans="1:7" ht="15" x14ac:dyDescent="0.3">
      <c r="A22" s="80">
        <v>1985</v>
      </c>
      <c r="B22" s="98">
        <f>'Extreme data'!E32</f>
        <v>2480</v>
      </c>
      <c r="C22" s="82">
        <f t="shared" si="0"/>
        <v>3.3944516808262164</v>
      </c>
    </row>
    <row r="23" spans="1:7" ht="15" x14ac:dyDescent="0.3">
      <c r="A23" s="80">
        <v>1986</v>
      </c>
      <c r="B23" s="98">
        <f>'Extreme data'!E33</f>
        <v>1700</v>
      </c>
      <c r="C23" s="82">
        <f t="shared" si="0"/>
        <v>3.2304489213782741</v>
      </c>
    </row>
    <row r="24" spans="1:7" ht="15" x14ac:dyDescent="0.3">
      <c r="A24" s="80">
        <v>1987</v>
      </c>
      <c r="B24" s="98">
        <f>'Extreme data'!E34</f>
        <v>3550</v>
      </c>
      <c r="C24" s="82">
        <f t="shared" si="0"/>
        <v>3.5502283530550942</v>
      </c>
    </row>
    <row r="25" spans="1:7" ht="15" x14ac:dyDescent="0.3">
      <c r="A25" s="80">
        <v>1988</v>
      </c>
      <c r="B25" s="98">
        <f>'Extreme data'!E35</f>
        <v>2340</v>
      </c>
      <c r="C25" s="82">
        <f t="shared" si="0"/>
        <v>3.369215857410143</v>
      </c>
      <c r="F25" s="52"/>
      <c r="G25" s="68"/>
    </row>
    <row r="26" spans="1:7" ht="15" x14ac:dyDescent="0.3">
      <c r="A26" s="80">
        <v>1989</v>
      </c>
      <c r="B26" s="98">
        <f>'Extreme data'!E36</f>
        <v>2020</v>
      </c>
      <c r="C26" s="82">
        <f t="shared" si="0"/>
        <v>3.3053513694466239</v>
      </c>
      <c r="F26" s="52"/>
      <c r="G26" s="68"/>
    </row>
    <row r="27" spans="1:7" ht="15" x14ac:dyDescent="0.3">
      <c r="A27" s="80">
        <v>1990</v>
      </c>
      <c r="B27" s="98">
        <f>'Extreme data'!E37</f>
        <v>3280</v>
      </c>
      <c r="C27" s="82">
        <f t="shared" si="0"/>
        <v>3.5158738437116792</v>
      </c>
      <c r="F27" s="52"/>
      <c r="G27" s="68"/>
    </row>
    <row r="28" spans="1:7" ht="15" x14ac:dyDescent="0.3">
      <c r="A28" s="80">
        <v>1991</v>
      </c>
      <c r="B28" s="98">
        <f>'Extreme data'!E38</f>
        <v>2390</v>
      </c>
      <c r="C28" s="82">
        <f t="shared" si="0"/>
        <v>3.3783979009481375</v>
      </c>
      <c r="F28" s="52"/>
      <c r="G28" s="68"/>
    </row>
    <row r="29" spans="1:7" ht="15" x14ac:dyDescent="0.3">
      <c r="A29" s="80">
        <v>1992</v>
      </c>
      <c r="B29" s="98">
        <f>'Extreme data'!E39</f>
        <v>2100</v>
      </c>
      <c r="C29" s="82">
        <f t="shared" si="0"/>
        <v>3.3222192947339191</v>
      </c>
      <c r="F29" s="52"/>
      <c r="G29" s="68"/>
    </row>
    <row r="30" spans="1:7" ht="15" x14ac:dyDescent="0.3">
      <c r="A30" s="80">
        <v>1993</v>
      </c>
      <c r="B30" s="98">
        <f>'Extreme data'!E40</f>
        <v>5720</v>
      </c>
      <c r="C30" s="82">
        <f t="shared" si="0"/>
        <v>3.7573960287930244</v>
      </c>
      <c r="F30" s="52"/>
      <c r="G30" s="68"/>
    </row>
    <row r="31" spans="1:7" ht="15" x14ac:dyDescent="0.3">
      <c r="A31" s="80">
        <v>1994</v>
      </c>
      <c r="B31" s="98">
        <f>'Extreme data'!E41</f>
        <v>1400</v>
      </c>
      <c r="C31" s="82">
        <f t="shared" si="0"/>
        <v>3.1461280356782382</v>
      </c>
      <c r="F31" s="52"/>
      <c r="G31" s="68"/>
    </row>
    <row r="32" spans="1:7" ht="15" x14ac:dyDescent="0.3">
      <c r="A32" s="80">
        <v>1995</v>
      </c>
      <c r="B32" s="98">
        <f>'Extreme data'!E42</f>
        <v>2420</v>
      </c>
      <c r="C32" s="82">
        <f t="shared" si="0"/>
        <v>3.3838153659804311</v>
      </c>
      <c r="F32" s="52"/>
      <c r="G32" s="68"/>
    </row>
    <row r="33" spans="1:12" ht="15" x14ac:dyDescent="0.3">
      <c r="A33" s="80">
        <v>1996</v>
      </c>
      <c r="B33" s="98">
        <f>'Extreme data'!E43</f>
        <v>3700</v>
      </c>
      <c r="C33" s="82">
        <f t="shared" si="0"/>
        <v>3.568201724066995</v>
      </c>
      <c r="F33" s="52"/>
      <c r="G33" s="68"/>
    </row>
    <row r="34" spans="1:12" ht="15" x14ac:dyDescent="0.3">
      <c r="A34" s="80">
        <v>1997</v>
      </c>
      <c r="B34" s="98">
        <f>'Extreme data'!E44</f>
        <v>2970</v>
      </c>
      <c r="C34" s="82">
        <f t="shared" si="0"/>
        <v>3.4727564493172123</v>
      </c>
      <c r="F34" s="52"/>
      <c r="G34" s="68"/>
    </row>
    <row r="35" spans="1:12" ht="15" x14ac:dyDescent="0.3">
      <c r="A35" s="80">
        <v>1998</v>
      </c>
      <c r="B35" s="98">
        <f>'Extreme data'!E45</f>
        <v>4700</v>
      </c>
      <c r="C35" s="82">
        <f t="shared" si="0"/>
        <v>3.6720978579357175</v>
      </c>
      <c r="F35" s="54"/>
      <c r="G35" s="68"/>
    </row>
    <row r="36" spans="1:12" ht="15" x14ac:dyDescent="0.3">
      <c r="A36" s="80">
        <v>1999</v>
      </c>
      <c r="B36" s="98">
        <f>'Extreme data'!E46</f>
        <v>3030</v>
      </c>
      <c r="C36" s="82">
        <f t="shared" si="0"/>
        <v>3.4814426285023048</v>
      </c>
      <c r="F36" s="54"/>
      <c r="G36" s="68"/>
    </row>
    <row r="37" spans="1:12" ht="15" x14ac:dyDescent="0.3">
      <c r="A37" s="80">
        <v>2000</v>
      </c>
      <c r="B37" s="98">
        <f>'Extreme data'!E47</f>
        <v>5700</v>
      </c>
      <c r="C37" s="82">
        <f t="shared" si="0"/>
        <v>3.7558748556724915</v>
      </c>
      <c r="F37" s="54"/>
      <c r="G37" s="68"/>
    </row>
    <row r="38" spans="1:12" ht="15" x14ac:dyDescent="0.3">
      <c r="A38" s="80">
        <v>2001</v>
      </c>
      <c r="B38" s="98">
        <f>'Extreme data'!E48</f>
        <v>2970</v>
      </c>
      <c r="C38" s="82">
        <f t="shared" si="0"/>
        <v>3.4727564493172123</v>
      </c>
      <c r="F38" s="54"/>
      <c r="G38" s="68"/>
    </row>
    <row r="39" spans="1:12" ht="15" x14ac:dyDescent="0.3">
      <c r="A39" s="80">
        <v>2002</v>
      </c>
      <c r="B39" s="98">
        <f>'Extreme data'!E49</f>
        <v>3110</v>
      </c>
      <c r="C39" s="82">
        <f t="shared" si="0"/>
        <v>3.4927603890268375</v>
      </c>
      <c r="F39" s="54"/>
      <c r="G39" s="68"/>
    </row>
    <row r="40" spans="1:12" ht="15" x14ac:dyDescent="0.3">
      <c r="A40" s="80">
        <v>2003</v>
      </c>
      <c r="B40" s="98">
        <f>'Extreme data'!E50</f>
        <v>2840</v>
      </c>
      <c r="C40" s="82">
        <f t="shared" si="0"/>
        <v>3.4533183400470375</v>
      </c>
      <c r="F40" s="54"/>
      <c r="G40" s="68"/>
    </row>
    <row r="41" spans="1:12" ht="15" x14ac:dyDescent="0.3">
      <c r="A41" s="80">
        <v>2004</v>
      </c>
      <c r="B41" s="98">
        <f>'Extreme data'!E51</f>
        <v>2200</v>
      </c>
      <c r="C41" s="82">
        <f t="shared" si="0"/>
        <v>3.3424226808222062</v>
      </c>
      <c r="F41" s="54"/>
      <c r="G41" s="68"/>
    </row>
    <row r="42" spans="1:12" ht="15" x14ac:dyDescent="0.3">
      <c r="A42" s="80">
        <v>2005</v>
      </c>
      <c r="B42" s="98">
        <f>'Extreme data'!E52</f>
        <v>2530</v>
      </c>
      <c r="C42" s="82">
        <f t="shared" si="0"/>
        <v>3.403120521175818</v>
      </c>
      <c r="F42" s="54"/>
      <c r="G42" s="68"/>
    </row>
    <row r="43" spans="1:12" ht="15" x14ac:dyDescent="0.3">
      <c r="A43" s="80">
        <v>2006</v>
      </c>
      <c r="B43" s="98">
        <f>'Extreme data'!E53</f>
        <v>2000</v>
      </c>
      <c r="C43" s="82">
        <f t="shared" si="0"/>
        <v>3.3010299956639813</v>
      </c>
      <c r="F43" s="54"/>
      <c r="G43" s="68"/>
    </row>
    <row r="44" spans="1:12" ht="15" x14ac:dyDescent="0.3">
      <c r="A44" s="96"/>
      <c r="B44" s="96"/>
      <c r="C44" s="96"/>
      <c r="F44" s="54"/>
      <c r="G44" s="68"/>
    </row>
    <row r="45" spans="1:12" x14ac:dyDescent="0.3">
      <c r="A45" s="69"/>
      <c r="B45" s="70"/>
      <c r="C45" s="70"/>
      <c r="G45" s="71"/>
    </row>
    <row r="46" spans="1:12" ht="15" x14ac:dyDescent="0.3">
      <c r="A46" s="375" t="s">
        <v>19</v>
      </c>
      <c r="B46" s="375"/>
      <c r="C46" s="375"/>
      <c r="D46" s="28"/>
      <c r="E46" s="28"/>
      <c r="F46" s="28"/>
      <c r="G46" s="35"/>
      <c r="H46" s="28"/>
      <c r="I46" s="28"/>
      <c r="J46" s="28"/>
      <c r="K46" s="28"/>
      <c r="L46" s="28"/>
    </row>
    <row r="47" spans="1:12" ht="16.5" x14ac:dyDescent="0.35">
      <c r="A47" s="36" t="s">
        <v>20</v>
      </c>
      <c r="B47" s="37">
        <f>AVERAGE($B$12:$B$43)</f>
        <v>2994.0625</v>
      </c>
      <c r="C47" s="37">
        <f>AVERAGE($C$12:$C$43)</f>
        <v>3.4537926905173761</v>
      </c>
      <c r="D47" s="36" t="s">
        <v>52</v>
      </c>
      <c r="E47" s="28"/>
      <c r="F47" s="28"/>
      <c r="G47" s="38"/>
      <c r="H47" s="28"/>
      <c r="I47" s="39"/>
      <c r="J47" s="39"/>
      <c r="K47" s="28"/>
      <c r="L47" s="28"/>
    </row>
    <row r="48" spans="1:12" ht="15" x14ac:dyDescent="0.3">
      <c r="A48" s="36" t="s">
        <v>21</v>
      </c>
      <c r="B48" s="37">
        <f>STDEV($B$12:$B$43)</f>
        <v>1027.9320279241513</v>
      </c>
      <c r="C48" s="37">
        <f>STDEV($C$12:$C$43)</f>
        <v>0.13994104242019653</v>
      </c>
      <c r="D48" s="36" t="s">
        <v>22</v>
      </c>
      <c r="E48" s="28"/>
      <c r="F48" s="28"/>
      <c r="G48" s="28"/>
      <c r="H48" s="28"/>
      <c r="I48" s="39"/>
      <c r="J48" s="39"/>
      <c r="K48" s="28"/>
      <c r="L48" s="28"/>
    </row>
    <row r="49" spans="1:12" ht="16.5" x14ac:dyDescent="0.35">
      <c r="A49" s="36" t="s">
        <v>23</v>
      </c>
      <c r="B49" s="37">
        <f>SKEW($B$12:$B$43)</f>
        <v>1.1836311424589014</v>
      </c>
      <c r="C49" s="37">
        <f>SKEW($C$12:$C$43)</f>
        <v>0.29448963044075227</v>
      </c>
      <c r="D49" s="36" t="s">
        <v>53</v>
      </c>
      <c r="E49" s="28"/>
      <c r="F49" s="28"/>
      <c r="G49" s="28"/>
      <c r="H49" s="28"/>
      <c r="I49" s="39"/>
      <c r="J49" s="39"/>
      <c r="K49" s="28"/>
      <c r="L49" s="28"/>
    </row>
    <row r="50" spans="1:12" ht="15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1:12" ht="13.5" customHeight="1" x14ac:dyDescent="0.3">
      <c r="A51" s="363" t="s">
        <v>24</v>
      </c>
      <c r="B51" s="363"/>
      <c r="C51" s="363"/>
      <c r="D51" s="363"/>
      <c r="E51" s="363"/>
      <c r="F51" s="363"/>
      <c r="G51" s="363"/>
      <c r="H51" s="363"/>
      <c r="I51" s="363"/>
      <c r="J51" s="363"/>
      <c r="K51" s="363"/>
    </row>
    <row r="52" spans="1:12" ht="13.5" customHeight="1" x14ac:dyDescent="0.3">
      <c r="A52" s="28"/>
      <c r="D52" s="376" t="s">
        <v>250</v>
      </c>
      <c r="E52" s="377"/>
      <c r="F52" s="377"/>
      <c r="G52" s="377"/>
      <c r="H52" s="377"/>
      <c r="I52" s="377"/>
      <c r="J52" s="377"/>
      <c r="K52" s="378"/>
      <c r="L52" s="83"/>
    </row>
    <row r="53" spans="1:12" ht="15" customHeight="1" x14ac:dyDescent="0.3">
      <c r="A53" s="379" t="s">
        <v>25</v>
      </c>
      <c r="B53" s="381" t="s">
        <v>26</v>
      </c>
      <c r="C53" s="382"/>
      <c r="D53" s="383" t="s">
        <v>8</v>
      </c>
      <c r="E53" s="384"/>
      <c r="F53" s="385"/>
      <c r="G53" s="383" t="s">
        <v>27</v>
      </c>
      <c r="H53" s="384"/>
      <c r="I53" s="385"/>
      <c r="J53" s="383" t="s">
        <v>7</v>
      </c>
      <c r="K53" s="385"/>
      <c r="L53" s="83"/>
    </row>
    <row r="54" spans="1:12" ht="16.5" x14ac:dyDescent="0.35">
      <c r="A54" s="380"/>
      <c r="B54" s="41" t="s">
        <v>28</v>
      </c>
      <c r="C54" s="41" t="s">
        <v>29</v>
      </c>
      <c r="D54" s="41" t="s">
        <v>30</v>
      </c>
      <c r="E54" s="41" t="s">
        <v>54</v>
      </c>
      <c r="F54" s="41" t="s">
        <v>31</v>
      </c>
      <c r="G54" s="41" t="s">
        <v>55</v>
      </c>
      <c r="H54" s="41" t="s">
        <v>54</v>
      </c>
      <c r="I54" s="41" t="s">
        <v>31</v>
      </c>
      <c r="J54" s="41" t="s">
        <v>32</v>
      </c>
      <c r="K54" s="41" t="s">
        <v>33</v>
      </c>
      <c r="L54" s="84"/>
    </row>
    <row r="55" spans="1:12" ht="15" x14ac:dyDescent="0.3">
      <c r="A55" s="62">
        <v>1</v>
      </c>
      <c r="B55" s="42">
        <f>1/A55</f>
        <v>1</v>
      </c>
      <c r="C55" s="42">
        <f>SQRT(LN(1/B55^2))</f>
        <v>0</v>
      </c>
      <c r="D55" s="42">
        <f t="shared" ref="D55:D67" si="1">C55-((2.51557+0.80285*C55+0.010328*C55^2)/(1+1.432788*C55+0.189269*C55^2+0.001308*C55^3))</f>
        <v>-2.5155699999999999</v>
      </c>
      <c r="E55" s="42">
        <f t="shared" ref="E55:E67" si="2">$C$47+D55*$C$48</f>
        <v>3.1017612024364025</v>
      </c>
      <c r="F55" s="43">
        <f>(10)^E55</f>
        <v>1264.0411211807627</v>
      </c>
      <c r="G55" s="42">
        <f t="shared" ref="G55:G67" si="3">D55+(D55^2-1)*($C$49/6)+((D55^3-6*D55)*($C$49/6)^2)/3-(D55^2-1)*($C$49/6)^3+D55*($C$49/6)^4+1/3*($C$49/6)^5</f>
        <v>-2.2553659059688651</v>
      </c>
      <c r="H55" s="42">
        <f t="shared" ref="H55:H67" si="4">$C$47+G55*$C$48</f>
        <v>3.1381744345971221</v>
      </c>
      <c r="I55" s="43">
        <f>(10)^H55</f>
        <v>1374.5939705101855</v>
      </c>
      <c r="J55" s="44"/>
      <c r="K55" s="43"/>
      <c r="L55" s="84"/>
    </row>
    <row r="56" spans="1:12" ht="15" x14ac:dyDescent="0.3">
      <c r="A56" s="41">
        <v>2</v>
      </c>
      <c r="B56" s="42">
        <f>1/A56</f>
        <v>0.5</v>
      </c>
      <c r="C56" s="42">
        <f>SQRT(LN(1/B56^2))</f>
        <v>1.1774100225154747</v>
      </c>
      <c r="D56" s="42">
        <f t="shared" si="1"/>
        <v>-1.6861240179411041E-5</v>
      </c>
      <c r="E56" s="42">
        <f t="shared" si="2"/>
        <v>3.4537903309378488</v>
      </c>
      <c r="F56" s="43">
        <f>(10)^E56</f>
        <v>2843.0881875132391</v>
      </c>
      <c r="G56" s="42">
        <f t="shared" si="3"/>
        <v>-4.8980052434068465E-2</v>
      </c>
      <c r="H56" s="42">
        <f t="shared" si="4"/>
        <v>3.4469383709219565</v>
      </c>
      <c r="I56" s="43">
        <f>(10)^H56</f>
        <v>2798.584155022234</v>
      </c>
      <c r="J56" s="44">
        <f t="shared" ref="J56:J67" si="5">-LN(LN(A56/(A56-1)))</f>
        <v>0.36651292058166435</v>
      </c>
      <c r="K56" s="43">
        <f t="shared" ref="K56:K67" si="6">B$47-(0.577*SQRT(6)*B$48/PI())+(SQRT(6)*B$48/PI())*J56</f>
        <v>2825.3623019180159</v>
      </c>
      <c r="L56" s="85"/>
    </row>
    <row r="57" spans="1:12" ht="15" x14ac:dyDescent="0.3">
      <c r="A57" s="41">
        <v>2.33</v>
      </c>
      <c r="B57" s="42">
        <f>1/A57</f>
        <v>0.42918454935622319</v>
      </c>
      <c r="C57" s="42">
        <f>SQRT(LN(1/B57^2))</f>
        <v>1.3006677266524369</v>
      </c>
      <c r="D57" s="42">
        <f t="shared" si="1"/>
        <v>0.17808428211113303</v>
      </c>
      <c r="E57" s="42">
        <f t="shared" si="2"/>
        <v>3.4787139905946605</v>
      </c>
      <c r="F57" s="43">
        <f>(10)^E57</f>
        <v>3011.0224291771879</v>
      </c>
      <c r="G57" s="42">
        <f t="shared" si="3"/>
        <v>0.1298213917191324</v>
      </c>
      <c r="H57" s="42">
        <f t="shared" si="4"/>
        <v>3.4719600314029924</v>
      </c>
      <c r="I57" s="43">
        <f>(10)^H57</f>
        <v>2964.5585453983908</v>
      </c>
      <c r="J57" s="44">
        <f t="shared" si="5"/>
        <v>0.57858831412193601</v>
      </c>
      <c r="K57" s="43">
        <f t="shared" si="6"/>
        <v>2995.3354945597016</v>
      </c>
      <c r="L57" s="85"/>
    </row>
    <row r="58" spans="1:12" ht="15" x14ac:dyDescent="0.3">
      <c r="A58" s="41">
        <v>5</v>
      </c>
      <c r="B58" s="42">
        <f>1/A58</f>
        <v>0.2</v>
      </c>
      <c r="C58" s="42">
        <f>SQRT(LN(1/B58^2))</f>
        <v>1.7941225779941015</v>
      </c>
      <c r="D58" s="42">
        <f t="shared" si="1"/>
        <v>0.84144534566621687</v>
      </c>
      <c r="E58" s="42">
        <f t="shared" si="2"/>
        <v>3.5715454293295292</v>
      </c>
      <c r="F58" s="43">
        <f>(10)^E58</f>
        <v>3728.5968585209721</v>
      </c>
      <c r="G58" s="42">
        <f t="shared" si="3"/>
        <v>0.82357881540843991</v>
      </c>
      <c r="H58" s="42">
        <f t="shared" si="4"/>
        <v>3.569045168460824</v>
      </c>
      <c r="I58" s="43">
        <f>(10)^H58</f>
        <v>3707.1927614848119</v>
      </c>
      <c r="J58" s="44">
        <f t="shared" si="5"/>
        <v>1.4999399867595156</v>
      </c>
      <c r="K58" s="43">
        <f t="shared" si="6"/>
        <v>3733.7761157448676</v>
      </c>
      <c r="L58" s="85"/>
    </row>
    <row r="59" spans="1:12" ht="15" x14ac:dyDescent="0.3">
      <c r="A59" s="41">
        <v>10</v>
      </c>
      <c r="B59" s="42">
        <f>1/A59</f>
        <v>0.1</v>
      </c>
      <c r="C59" s="42">
        <f>SQRT(LN(1/B59^2))</f>
        <v>2.1459660262893472</v>
      </c>
      <c r="D59" s="42">
        <f t="shared" si="1"/>
        <v>1.2817193675751226</v>
      </c>
      <c r="E59" s="42">
        <f t="shared" si="2"/>
        <v>3.6331578349059939</v>
      </c>
      <c r="F59" s="43">
        <f>(10)^E59</f>
        <v>4296.925608290333</v>
      </c>
      <c r="G59" s="42">
        <f t="shared" si="3"/>
        <v>1.3087162524541847</v>
      </c>
      <c r="H59" s="42">
        <f t="shared" si="4"/>
        <v>3.6369358071180677</v>
      </c>
      <c r="I59" s="43">
        <f>(10)^H59</f>
        <v>4334.4680606506599</v>
      </c>
      <c r="J59" s="44">
        <f t="shared" si="5"/>
        <v>2.2503673273124449</v>
      </c>
      <c r="K59" s="43">
        <f t="shared" si="6"/>
        <v>4335.2251041923164</v>
      </c>
      <c r="L59" s="85"/>
    </row>
    <row r="60" spans="1:12" ht="15" x14ac:dyDescent="0.3">
      <c r="A60" s="41">
        <v>20</v>
      </c>
      <c r="B60" s="42">
        <f t="shared" ref="B60:B67" si="7">1/A60</f>
        <v>0.05</v>
      </c>
      <c r="C60" s="42">
        <f t="shared" ref="C60:C67" si="8">SQRT(LN(1/B60^2))</f>
        <v>2.4477468306808166</v>
      </c>
      <c r="D60" s="42">
        <f t="shared" si="1"/>
        <v>1.6452033739823797</v>
      </c>
      <c r="E60" s="42">
        <f t="shared" si="2"/>
        <v>3.6840241656656949</v>
      </c>
      <c r="F60" s="43">
        <f t="shared" ref="F60:F67" si="9">(10)^E60</f>
        <v>4830.8568187083038</v>
      </c>
      <c r="G60" s="42">
        <f t="shared" si="3"/>
        <v>1.7244277207085033</v>
      </c>
      <c r="H60" s="42">
        <f t="shared" si="4"/>
        <v>3.6951109033316074</v>
      </c>
      <c r="I60" s="43">
        <f t="shared" ref="I60:I66" si="10">(10)^H60</f>
        <v>4955.7672728051257</v>
      </c>
      <c r="J60" s="44">
        <f t="shared" si="5"/>
        <v>2.9701952490421655</v>
      </c>
      <c r="K60" s="43">
        <f t="shared" si="6"/>
        <v>4912.1494138284379</v>
      </c>
      <c r="L60" s="85"/>
    </row>
    <row r="61" spans="1:12" ht="15" x14ac:dyDescent="0.3">
      <c r="A61" s="41">
        <v>50</v>
      </c>
      <c r="B61" s="42">
        <f t="shared" si="7"/>
        <v>0.02</v>
      </c>
      <c r="C61" s="42">
        <f t="shared" si="8"/>
        <v>2.7971496225365371</v>
      </c>
      <c r="D61" s="42">
        <f t="shared" si="1"/>
        <v>2.0541817439773808</v>
      </c>
      <c r="E61" s="42">
        <f t="shared" si="2"/>
        <v>3.7412570250901083</v>
      </c>
      <c r="F61" s="43">
        <f t="shared" si="9"/>
        <v>5511.3377307575402</v>
      </c>
      <c r="G61" s="42">
        <f t="shared" si="3"/>
        <v>2.2089025987838751</v>
      </c>
      <c r="H61" s="42">
        <f t="shared" si="4"/>
        <v>3.7629088227958727</v>
      </c>
      <c r="I61" s="43">
        <f t="shared" si="10"/>
        <v>5793.0706203962409</v>
      </c>
      <c r="J61" s="44">
        <f t="shared" si="5"/>
        <v>3.9019386579358333</v>
      </c>
      <c r="K61" s="43">
        <f t="shared" si="6"/>
        <v>5658.9187550930619</v>
      </c>
      <c r="L61" s="85"/>
    </row>
    <row r="62" spans="1:12" ht="15" x14ac:dyDescent="0.3">
      <c r="A62" s="45">
        <v>100</v>
      </c>
      <c r="B62" s="46">
        <f t="shared" si="7"/>
        <v>0.01</v>
      </c>
      <c r="C62" s="46">
        <f t="shared" si="8"/>
        <v>3.0348542587702929</v>
      </c>
      <c r="D62" s="46">
        <f t="shared" si="1"/>
        <v>2.3267791744716506</v>
      </c>
      <c r="E62" s="46">
        <f t="shared" si="2"/>
        <v>3.7794045936745433</v>
      </c>
      <c r="F62" s="47">
        <f t="shared" si="9"/>
        <v>6017.3405872898466</v>
      </c>
      <c r="G62" s="46">
        <f t="shared" si="3"/>
        <v>2.541817173555057</v>
      </c>
      <c r="H62" s="46">
        <f t="shared" si="4"/>
        <v>3.8094972354262282</v>
      </c>
      <c r="I62" s="47">
        <f>(10)^H62</f>
        <v>6449.0721459088163</v>
      </c>
      <c r="J62" s="48">
        <f t="shared" si="5"/>
        <v>4.6001492267765736</v>
      </c>
      <c r="K62" s="47">
        <f t="shared" si="6"/>
        <v>6218.5172900333837</v>
      </c>
      <c r="L62" s="85"/>
    </row>
    <row r="63" spans="1:12" ht="15" x14ac:dyDescent="0.3">
      <c r="A63" s="41">
        <v>200</v>
      </c>
      <c r="B63" s="42">
        <f t="shared" si="7"/>
        <v>5.0000000000000001E-3</v>
      </c>
      <c r="C63" s="42">
        <f t="shared" si="8"/>
        <v>3.2552472614374586</v>
      </c>
      <c r="D63" s="42">
        <f t="shared" si="1"/>
        <v>2.5762304772515181</v>
      </c>
      <c r="E63" s="42">
        <f t="shared" si="2"/>
        <v>3.8143130690186338</v>
      </c>
      <c r="F63" s="43">
        <f t="shared" si="9"/>
        <v>6520.9830150438675</v>
      </c>
      <c r="G63" s="42">
        <f t="shared" si="3"/>
        <v>2.8535679325516412</v>
      </c>
      <c r="H63" s="42">
        <f t="shared" si="4"/>
        <v>3.853123961615498</v>
      </c>
      <c r="I63" s="43">
        <f t="shared" si="10"/>
        <v>7130.5653035371224</v>
      </c>
      <c r="J63" s="44">
        <f t="shared" si="5"/>
        <v>5.295812142535044</v>
      </c>
      <c r="K63" s="43">
        <f t="shared" si="6"/>
        <v>6776.0739439194822</v>
      </c>
      <c r="L63" s="85"/>
    </row>
    <row r="64" spans="1:12" ht="15" x14ac:dyDescent="0.3">
      <c r="A64" s="41">
        <v>500</v>
      </c>
      <c r="B64" s="42">
        <f t="shared" si="7"/>
        <v>2E-3</v>
      </c>
      <c r="C64" s="42">
        <f t="shared" si="8"/>
        <v>3.5255093528232742</v>
      </c>
      <c r="D64" s="42">
        <f t="shared" si="1"/>
        <v>2.8785010937925581</v>
      </c>
      <c r="E64" s="42">
        <f t="shared" si="2"/>
        <v>3.8566131341903827</v>
      </c>
      <c r="F64" s="43">
        <f t="shared" si="9"/>
        <v>7188.083843681321</v>
      </c>
      <c r="G64" s="42">
        <f t="shared" si="3"/>
        <v>3.2405370721668816</v>
      </c>
      <c r="H64" s="42">
        <f t="shared" si="4"/>
        <v>3.9072768263977014</v>
      </c>
      <c r="I64" s="43">
        <f t="shared" si="10"/>
        <v>8077.4973906914993</v>
      </c>
      <c r="J64" s="44">
        <f t="shared" si="5"/>
        <v>6.213607264087516</v>
      </c>
      <c r="K64" s="43">
        <f t="shared" si="6"/>
        <v>7511.6640772067476</v>
      </c>
      <c r="L64" s="85"/>
    </row>
    <row r="65" spans="1:12" ht="15" x14ac:dyDescent="0.3">
      <c r="A65" s="41">
        <v>1000</v>
      </c>
      <c r="B65" s="42">
        <f t="shared" si="7"/>
        <v>1E-3</v>
      </c>
      <c r="C65" s="42">
        <f t="shared" si="8"/>
        <v>3.7169221888498383</v>
      </c>
      <c r="D65" s="42">
        <f t="shared" si="1"/>
        <v>3.090517579776618</v>
      </c>
      <c r="E65" s="42">
        <f t="shared" si="2"/>
        <v>3.8862829422492591</v>
      </c>
      <c r="F65" s="43">
        <f t="shared" si="9"/>
        <v>7696.3169096009533</v>
      </c>
      <c r="G65" s="42">
        <f t="shared" si="3"/>
        <v>3.5180492212288295</v>
      </c>
      <c r="H65" s="42">
        <f t="shared" si="4"/>
        <v>3.9461121658216993</v>
      </c>
      <c r="I65" s="43">
        <f t="shared" si="10"/>
        <v>8833.080041107647</v>
      </c>
      <c r="J65" s="44">
        <f t="shared" si="5"/>
        <v>6.907255070523628</v>
      </c>
      <c r="K65" s="43">
        <f t="shared" si="6"/>
        <v>8067.6056707158459</v>
      </c>
      <c r="L65" s="85"/>
    </row>
    <row r="66" spans="1:12" ht="15" x14ac:dyDescent="0.3">
      <c r="A66" s="41">
        <v>5000</v>
      </c>
      <c r="B66" s="42">
        <f t="shared" si="7"/>
        <v>2.0000000000000001E-4</v>
      </c>
      <c r="C66" s="42">
        <f t="shared" si="8"/>
        <v>4.1272734804992597</v>
      </c>
      <c r="D66" s="42">
        <f t="shared" si="1"/>
        <v>3.5402404913194201</v>
      </c>
      <c r="E66" s="42">
        <f t="shared" si="2"/>
        <v>3.9492176352908044</v>
      </c>
      <c r="F66" s="43">
        <f t="shared" si="9"/>
        <v>8896.4682934901903</v>
      </c>
      <c r="G66" s="42">
        <f t="shared" si="3"/>
        <v>4.1235434585255994</v>
      </c>
      <c r="H66" s="42">
        <f t="shared" si="4"/>
        <v>4.0308456605684313</v>
      </c>
      <c r="I66" s="43">
        <f t="shared" si="10"/>
        <v>10736.078061451466</v>
      </c>
      <c r="J66" s="44">
        <f t="shared" si="5"/>
        <v>8.5170931830821246</v>
      </c>
      <c r="K66" s="43">
        <f t="shared" si="6"/>
        <v>9357.851177561377</v>
      </c>
      <c r="L66" s="85"/>
    </row>
    <row r="67" spans="1:12" ht="15" x14ac:dyDescent="0.3">
      <c r="A67" s="41">
        <v>10000</v>
      </c>
      <c r="B67" s="42">
        <f t="shared" si="7"/>
        <v>1E-4</v>
      </c>
      <c r="C67" s="42">
        <f t="shared" si="8"/>
        <v>4.2919320525786944</v>
      </c>
      <c r="D67" s="42">
        <f t="shared" si="1"/>
        <v>3.7191205599951926</v>
      </c>
      <c r="E67" s="42">
        <f t="shared" si="2"/>
        <v>3.9742502985694887</v>
      </c>
      <c r="F67" s="43">
        <f t="shared" si="9"/>
        <v>9424.3259575007178</v>
      </c>
      <c r="G67" s="42">
        <f t="shared" si="3"/>
        <v>4.3708227214717112</v>
      </c>
      <c r="H67" s="42">
        <f t="shared" si="4"/>
        <v>4.0654501783940074</v>
      </c>
      <c r="I67" s="43">
        <f>(10)^H67</f>
        <v>11626.531655402445</v>
      </c>
      <c r="J67" s="44">
        <f t="shared" si="5"/>
        <v>9.2102903698935528</v>
      </c>
      <c r="K67" s="43">
        <f t="shared" si="6"/>
        <v>9913.4316105652633</v>
      </c>
      <c r="L67" s="85"/>
    </row>
    <row r="68" spans="1:12" x14ac:dyDescent="0.3">
      <c r="L68" s="72"/>
    </row>
    <row r="69" spans="1:12" x14ac:dyDescent="0.3">
      <c r="A69" s="364"/>
      <c r="B69" s="364"/>
      <c r="C69" s="364"/>
      <c r="D69" s="364"/>
      <c r="E69" s="364"/>
      <c r="F69" s="364"/>
      <c r="G69" s="364"/>
      <c r="H69" s="364"/>
      <c r="I69" s="364"/>
      <c r="J69" s="73"/>
      <c r="K69" s="73"/>
      <c r="L69" s="72"/>
    </row>
    <row r="70" spans="1:12" x14ac:dyDescent="0.3">
      <c r="L70" s="72"/>
    </row>
    <row r="71" spans="1:12" x14ac:dyDescent="0.3">
      <c r="L71" s="72"/>
    </row>
    <row r="73" spans="1:12" ht="13.5" hidden="1" customHeight="1" x14ac:dyDescent="0.3">
      <c r="A73" s="364" t="s">
        <v>34</v>
      </c>
      <c r="B73" s="364"/>
      <c r="C73" s="364"/>
      <c r="D73" s="364"/>
      <c r="E73" s="364"/>
      <c r="F73" s="364"/>
      <c r="G73" s="364"/>
      <c r="H73" s="364"/>
      <c r="I73" s="364"/>
      <c r="J73" s="73"/>
      <c r="K73" s="73"/>
    </row>
    <row r="74" spans="1:12" hidden="1" x14ac:dyDescent="0.3">
      <c r="A74" s="73"/>
      <c r="B74" s="73"/>
      <c r="C74" s="73"/>
      <c r="D74" s="73"/>
      <c r="E74" s="364" t="s">
        <v>8</v>
      </c>
      <c r="F74" s="364"/>
      <c r="G74" s="365" t="s">
        <v>27</v>
      </c>
      <c r="H74" s="365"/>
      <c r="I74" s="73"/>
      <c r="J74" s="73"/>
      <c r="K74" s="73"/>
    </row>
    <row r="75" spans="1:12" hidden="1" x14ac:dyDescent="0.3">
      <c r="D75" s="29" t="s">
        <v>22</v>
      </c>
      <c r="E75" s="74"/>
      <c r="F75" s="74"/>
      <c r="G75" s="74"/>
    </row>
    <row r="76" spans="1:12" hidden="1" x14ac:dyDescent="0.3">
      <c r="D76" s="29" t="s">
        <v>74</v>
      </c>
      <c r="E76" s="74" t="e">
        <f>#REF!-#REF!</f>
        <v>#REF!</v>
      </c>
      <c r="F76" s="74"/>
      <c r="G76" s="74" t="e">
        <f>#REF!-#REF!</f>
        <v>#REF!</v>
      </c>
    </row>
    <row r="77" spans="1:12" hidden="1" x14ac:dyDescent="0.3">
      <c r="D77" s="29" t="s">
        <v>75</v>
      </c>
      <c r="E77" s="74">
        <f>D62-D56</f>
        <v>2.3267960357118298</v>
      </c>
      <c r="F77" s="74"/>
      <c r="G77" s="74">
        <f>G62-G56</f>
        <v>2.5907972259891254</v>
      </c>
    </row>
    <row r="78" spans="1:12" hidden="1" x14ac:dyDescent="0.3">
      <c r="D78" s="29" t="s">
        <v>22</v>
      </c>
      <c r="E78" s="74" t="e">
        <f>E76/E77</f>
        <v>#REF!</v>
      </c>
      <c r="F78" s="74"/>
      <c r="G78" s="74" t="e">
        <f>G76/G77</f>
        <v>#REF!</v>
      </c>
    </row>
    <row r="79" spans="1:12" hidden="1" x14ac:dyDescent="0.3">
      <c r="D79" s="29" t="s">
        <v>76</v>
      </c>
      <c r="E79" s="74" t="e">
        <f>#REF!-D56*E78</f>
        <v>#REF!</v>
      </c>
      <c r="F79" s="74"/>
      <c r="G79" s="74" t="e">
        <f>#REF!-G56*G78</f>
        <v>#REF!</v>
      </c>
    </row>
    <row r="80" spans="1:12" hidden="1" x14ac:dyDescent="0.3">
      <c r="E80" s="74" t="e">
        <f>10^E79</f>
        <v>#REF!</v>
      </c>
      <c r="F80" s="74"/>
      <c r="G80" s="74" t="e">
        <f>10^G79</f>
        <v>#REF!</v>
      </c>
    </row>
    <row r="85" spans="7:7" x14ac:dyDescent="0.3">
      <c r="G85" s="75"/>
    </row>
  </sheetData>
  <mergeCells count="13">
    <mergeCell ref="A69:I69"/>
    <mergeCell ref="A73:I73"/>
    <mergeCell ref="E74:F74"/>
    <mergeCell ref="G74:H74"/>
    <mergeCell ref="A9:C9"/>
    <mergeCell ref="A46:C46"/>
    <mergeCell ref="A51:K51"/>
    <mergeCell ref="D52:K52"/>
    <mergeCell ref="A53:A54"/>
    <mergeCell ref="B53:C53"/>
    <mergeCell ref="D53:F53"/>
    <mergeCell ref="G53:I53"/>
    <mergeCell ref="J53:K5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P77"/>
  <sheetViews>
    <sheetView topLeftCell="A41" workbookViewId="0">
      <selection activeCell="H50" sqref="H50"/>
    </sheetView>
  </sheetViews>
  <sheetFormatPr defaultRowHeight="13.5" x14ac:dyDescent="0.3"/>
  <cols>
    <col min="1" max="1" width="10.7109375" style="29" customWidth="1"/>
    <col min="2" max="3" width="10.28515625" style="29" customWidth="1"/>
    <col min="4" max="4" width="27.5703125" style="29" customWidth="1"/>
    <col min="5" max="5" width="35.140625" style="29" bestFit="1" customWidth="1"/>
    <col min="6" max="6" width="9.28515625" style="29" customWidth="1"/>
    <col min="7" max="7" width="6.5703125" style="29" customWidth="1"/>
    <col min="8" max="8" width="7.140625" style="29" customWidth="1"/>
    <col min="9" max="9" width="8.5703125" style="29" bestFit="1" customWidth="1"/>
    <col min="10" max="10" width="7.5703125" style="29" customWidth="1"/>
    <col min="11" max="11" width="9.42578125" style="29" customWidth="1"/>
    <col min="12" max="12" width="8.85546875" style="29" customWidth="1"/>
    <col min="13" max="16384" width="9.140625" style="29"/>
  </cols>
  <sheetData>
    <row r="1" spans="1:16" ht="12.75" customHeight="1" x14ac:dyDescent="0.3">
      <c r="A1" s="61" t="s">
        <v>44</v>
      </c>
      <c r="B1" s="61"/>
      <c r="E1" s="28" t="s">
        <v>133</v>
      </c>
      <c r="F1" s="28"/>
      <c r="M1" s="61"/>
      <c r="N1" s="61"/>
      <c r="O1" s="61"/>
      <c r="P1" s="61"/>
    </row>
    <row r="2" spans="1:16" ht="12.75" customHeight="1" x14ac:dyDescent="0.3">
      <c r="A2" s="61" t="s">
        <v>63</v>
      </c>
      <c r="B2" s="61"/>
      <c r="E2" s="28" t="s">
        <v>134</v>
      </c>
      <c r="F2" s="28"/>
      <c r="M2" s="61"/>
      <c r="N2" s="61"/>
      <c r="O2" s="61"/>
      <c r="P2" s="61"/>
    </row>
    <row r="3" spans="1:16" ht="12.75" customHeight="1" x14ac:dyDescent="0.3">
      <c r="A3" s="26" t="s">
        <v>11</v>
      </c>
      <c r="B3" s="27" t="s">
        <v>132</v>
      </c>
      <c r="C3" s="26"/>
      <c r="D3" s="28"/>
      <c r="E3" s="28" t="s">
        <v>51</v>
      </c>
      <c r="M3" s="61"/>
      <c r="N3" s="61"/>
      <c r="O3" s="61"/>
      <c r="P3" s="61"/>
    </row>
    <row r="4" spans="1:16" ht="12.75" customHeight="1" x14ac:dyDescent="0.3">
      <c r="A4" s="26" t="s">
        <v>12</v>
      </c>
      <c r="B4" s="26" t="s">
        <v>45</v>
      </c>
      <c r="C4" s="26"/>
      <c r="D4" s="28"/>
      <c r="E4" s="28"/>
      <c r="M4" s="61"/>
      <c r="N4" s="61"/>
      <c r="O4" s="61"/>
      <c r="P4" s="61"/>
    </row>
    <row r="5" spans="1:16" ht="12.75" customHeight="1" x14ac:dyDescent="0.3">
      <c r="A5" s="26" t="s">
        <v>13</v>
      </c>
      <c r="B5" s="25">
        <v>43340</v>
      </c>
      <c r="C5" s="31"/>
      <c r="D5" s="28"/>
      <c r="E5" s="28"/>
      <c r="M5" s="61"/>
      <c r="N5" s="61"/>
      <c r="O5" s="61"/>
      <c r="P5" s="61"/>
    </row>
    <row r="6" spans="1:16" ht="12.75" customHeight="1" x14ac:dyDescent="0.3">
      <c r="A6" s="26" t="s">
        <v>42</v>
      </c>
      <c r="B6" s="25"/>
      <c r="C6" s="32" t="s">
        <v>248</v>
      </c>
      <c r="D6" s="28"/>
      <c r="E6" s="28"/>
      <c r="L6" s="30"/>
      <c r="M6" s="61"/>
      <c r="N6" s="61"/>
      <c r="O6" s="61"/>
      <c r="P6" s="61"/>
    </row>
    <row r="7" spans="1:16" ht="12.75" customHeight="1" x14ac:dyDescent="0.35">
      <c r="A7" s="26" t="s">
        <v>46</v>
      </c>
      <c r="B7" s="26"/>
      <c r="C7" s="67">
        <v>404.7</v>
      </c>
      <c r="D7" s="26"/>
      <c r="E7" s="26"/>
      <c r="F7" s="23"/>
      <c r="G7" s="23"/>
      <c r="L7" s="30"/>
      <c r="M7" s="61"/>
      <c r="N7" s="61"/>
      <c r="O7" s="61"/>
      <c r="P7" s="61"/>
    </row>
    <row r="8" spans="1:16" ht="12.75" customHeight="1" x14ac:dyDescent="0.35">
      <c r="A8" s="26" t="s">
        <v>47</v>
      </c>
      <c r="B8" s="26"/>
      <c r="C8" s="307" t="s">
        <v>255</v>
      </c>
      <c r="D8" s="26"/>
      <c r="E8" s="26"/>
      <c r="F8" s="23"/>
      <c r="G8" s="23"/>
      <c r="L8" s="30"/>
      <c r="M8" s="61"/>
      <c r="N8" s="61"/>
      <c r="O8" s="61"/>
      <c r="P8" s="61"/>
    </row>
    <row r="9" spans="1:16" ht="15" x14ac:dyDescent="0.3">
      <c r="A9" s="363" t="s">
        <v>14</v>
      </c>
      <c r="B9" s="363"/>
      <c r="C9" s="363"/>
    </row>
    <row r="10" spans="1:16" ht="15" x14ac:dyDescent="0.3">
      <c r="A10" s="33" t="s">
        <v>15</v>
      </c>
      <c r="B10" s="33" t="s">
        <v>16</v>
      </c>
      <c r="C10" s="33"/>
    </row>
    <row r="11" spans="1:16" ht="15" x14ac:dyDescent="0.3">
      <c r="A11" s="33"/>
      <c r="B11" s="34" t="s">
        <v>17</v>
      </c>
      <c r="C11" s="33" t="s">
        <v>18</v>
      </c>
    </row>
    <row r="12" spans="1:16" ht="15" x14ac:dyDescent="0.3">
      <c r="A12" s="80">
        <v>1985</v>
      </c>
      <c r="B12" s="98">
        <f>'Extreme data'!F32</f>
        <v>1420</v>
      </c>
      <c r="C12" s="82">
        <f t="shared" ref="C12:C33" si="0">IF(B12="","",LOG(B12))</f>
        <v>3.1522883443830563</v>
      </c>
    </row>
    <row r="13" spans="1:16" ht="15" x14ac:dyDescent="0.3">
      <c r="A13" s="80">
        <v>1986</v>
      </c>
      <c r="B13" s="98">
        <f>'Extreme data'!F33</f>
        <v>1270</v>
      </c>
      <c r="C13" s="82">
        <f t="shared" si="0"/>
        <v>3.1038037209559568</v>
      </c>
    </row>
    <row r="14" spans="1:16" ht="15" x14ac:dyDescent="0.3">
      <c r="A14" s="80">
        <v>1987</v>
      </c>
      <c r="B14" s="98">
        <f>'Extreme data'!F34</f>
        <v>1520</v>
      </c>
      <c r="C14" s="82">
        <f t="shared" si="0"/>
        <v>3.1818435879447726</v>
      </c>
    </row>
    <row r="15" spans="1:16" ht="15" x14ac:dyDescent="0.3">
      <c r="A15" s="80">
        <v>1988</v>
      </c>
      <c r="B15" s="98">
        <f>'Extreme data'!F35</f>
        <v>1370</v>
      </c>
      <c r="C15" s="82">
        <f t="shared" si="0"/>
        <v>3.1367205671564067</v>
      </c>
    </row>
    <row r="16" spans="1:16" ht="15" x14ac:dyDescent="0.3">
      <c r="A16" s="80">
        <v>1989</v>
      </c>
      <c r="B16" s="98">
        <f>'Extreme data'!F36</f>
        <v>1270</v>
      </c>
      <c r="C16" s="82">
        <f t="shared" si="0"/>
        <v>3.1038037209559568</v>
      </c>
    </row>
    <row r="17" spans="1:7" ht="15" x14ac:dyDescent="0.3">
      <c r="A17" s="80">
        <v>1990</v>
      </c>
      <c r="B17" s="98">
        <f>'Extreme data'!F37</f>
        <v>1170</v>
      </c>
      <c r="C17" s="82">
        <f t="shared" si="0"/>
        <v>3.0681858617461617</v>
      </c>
    </row>
    <row r="18" spans="1:7" ht="15" x14ac:dyDescent="0.3">
      <c r="A18" s="80">
        <v>1991</v>
      </c>
      <c r="B18" s="98">
        <f>'Extreme data'!F38</f>
        <v>1470</v>
      </c>
      <c r="C18" s="82">
        <f t="shared" si="0"/>
        <v>3.167317334748176</v>
      </c>
    </row>
    <row r="19" spans="1:7" ht="15" x14ac:dyDescent="0.3">
      <c r="A19" s="80">
        <v>1992</v>
      </c>
      <c r="B19" s="98">
        <f>'Extreme data'!F39</f>
        <v>1270</v>
      </c>
      <c r="C19" s="82">
        <f t="shared" si="0"/>
        <v>3.1038037209559568</v>
      </c>
    </row>
    <row r="20" spans="1:7" ht="15" x14ac:dyDescent="0.3">
      <c r="A20" s="80">
        <v>1993</v>
      </c>
      <c r="B20" s="98">
        <f>'Extreme data'!F40</f>
        <v>1470</v>
      </c>
      <c r="C20" s="82">
        <f t="shared" si="0"/>
        <v>3.167317334748176</v>
      </c>
    </row>
    <row r="21" spans="1:7" ht="15" x14ac:dyDescent="0.3">
      <c r="A21" s="80">
        <v>1994</v>
      </c>
      <c r="B21" s="98">
        <f>'Extreme data'!F41</f>
        <v>957</v>
      </c>
      <c r="C21" s="82">
        <f t="shared" si="0"/>
        <v>2.9809119377768436</v>
      </c>
    </row>
    <row r="22" spans="1:7" ht="15" x14ac:dyDescent="0.3">
      <c r="A22" s="80">
        <v>1995</v>
      </c>
      <c r="B22" s="98">
        <f>'Extreme data'!F42</f>
        <v>1450</v>
      </c>
      <c r="C22" s="82">
        <f t="shared" si="0"/>
        <v>3.1613680022349748</v>
      </c>
    </row>
    <row r="23" spans="1:7" ht="15" x14ac:dyDescent="0.3">
      <c r="A23" s="80">
        <v>1996</v>
      </c>
      <c r="B23" s="98">
        <f>'Extreme data'!F43</f>
        <v>1470</v>
      </c>
      <c r="C23" s="82">
        <f t="shared" si="0"/>
        <v>3.167317334748176</v>
      </c>
    </row>
    <row r="24" spans="1:7" ht="15" x14ac:dyDescent="0.3">
      <c r="A24" s="80">
        <v>1997</v>
      </c>
      <c r="B24" s="98">
        <f>'Extreme data'!F44</f>
        <v>1320</v>
      </c>
      <c r="C24" s="82">
        <f t="shared" si="0"/>
        <v>3.12057393120585</v>
      </c>
    </row>
    <row r="25" spans="1:7" ht="15" x14ac:dyDescent="0.3">
      <c r="A25" s="80">
        <v>1998</v>
      </c>
      <c r="B25" s="98">
        <f>'Extreme data'!F45</f>
        <v>1460</v>
      </c>
      <c r="C25" s="82">
        <f t="shared" si="0"/>
        <v>3.1643528557844371</v>
      </c>
    </row>
    <row r="26" spans="1:7" ht="15" x14ac:dyDescent="0.3">
      <c r="A26" s="80">
        <v>1999</v>
      </c>
      <c r="B26" s="98">
        <f>'Extreme data'!F46</f>
        <v>1840</v>
      </c>
      <c r="C26" s="82">
        <f t="shared" si="0"/>
        <v>3.2648178230095364</v>
      </c>
      <c r="F26" s="52"/>
      <c r="G26" s="68"/>
    </row>
    <row r="27" spans="1:7" ht="15" x14ac:dyDescent="0.3">
      <c r="A27" s="80">
        <v>2000</v>
      </c>
      <c r="B27" s="98">
        <f>'Extreme data'!F47</f>
        <v>1800</v>
      </c>
      <c r="C27" s="82">
        <f t="shared" si="0"/>
        <v>3.255272505103306</v>
      </c>
      <c r="F27" s="52"/>
      <c r="G27" s="68"/>
    </row>
    <row r="28" spans="1:7" ht="15" x14ac:dyDescent="0.3">
      <c r="A28" s="80">
        <v>2001</v>
      </c>
      <c r="B28" s="98">
        <f>'Extreme data'!F48</f>
        <v>1130</v>
      </c>
      <c r="C28" s="82">
        <f t="shared" si="0"/>
        <v>3.0530784434834195</v>
      </c>
      <c r="F28" s="52"/>
      <c r="G28" s="68"/>
    </row>
    <row r="29" spans="1:7" ht="15" x14ac:dyDescent="0.3">
      <c r="A29" s="80">
        <v>2002</v>
      </c>
      <c r="B29" s="98">
        <f>'Extreme data'!F49</f>
        <v>1620</v>
      </c>
      <c r="C29" s="82">
        <f t="shared" si="0"/>
        <v>3.2095150145426308</v>
      </c>
      <c r="F29" s="52"/>
      <c r="G29" s="68"/>
    </row>
    <row r="30" spans="1:7" ht="15" x14ac:dyDescent="0.3">
      <c r="A30" s="80">
        <v>2003</v>
      </c>
      <c r="B30" s="98">
        <f>'Extreme data'!F50</f>
        <v>1350</v>
      </c>
      <c r="C30" s="82">
        <f t="shared" si="0"/>
        <v>3.1303337684950061</v>
      </c>
      <c r="F30" s="52"/>
      <c r="G30" s="68"/>
    </row>
    <row r="31" spans="1:7" ht="15" x14ac:dyDescent="0.3">
      <c r="A31" s="80">
        <v>2004</v>
      </c>
      <c r="B31" s="98">
        <f>'Extreme data'!F51</f>
        <v>1010</v>
      </c>
      <c r="C31" s="82">
        <f t="shared" si="0"/>
        <v>3.0043213737826426</v>
      </c>
      <c r="F31" s="52"/>
      <c r="G31" s="68"/>
    </row>
    <row r="32" spans="1:7" ht="15" x14ac:dyDescent="0.3">
      <c r="A32" s="80">
        <v>2005</v>
      </c>
      <c r="B32" s="98">
        <f>'Extreme data'!F52</f>
        <v>1620</v>
      </c>
      <c r="C32" s="82">
        <f t="shared" si="0"/>
        <v>3.2095150145426308</v>
      </c>
      <c r="F32" s="52"/>
      <c r="G32" s="68"/>
    </row>
    <row r="33" spans="1:12" ht="15" x14ac:dyDescent="0.3">
      <c r="A33" s="80">
        <v>2006</v>
      </c>
      <c r="B33" s="98">
        <f>'Extreme data'!F53</f>
        <v>949</v>
      </c>
      <c r="C33" s="82">
        <f t="shared" si="0"/>
        <v>2.9772662124272928</v>
      </c>
      <c r="F33" s="52"/>
      <c r="G33" s="68"/>
    </row>
    <row r="34" spans="1:12" ht="15" x14ac:dyDescent="0.3">
      <c r="A34" s="96"/>
      <c r="B34" s="96"/>
      <c r="C34" s="96"/>
      <c r="E34"/>
      <c r="G34" s="68"/>
    </row>
    <row r="35" spans="1:12" x14ac:dyDescent="0.3">
      <c r="A35" s="69"/>
      <c r="B35" s="70"/>
      <c r="C35" s="70"/>
      <c r="G35" s="71"/>
    </row>
    <row r="36" spans="1:12" x14ac:dyDescent="0.3">
      <c r="A36" s="69"/>
      <c r="B36" s="70"/>
      <c r="C36" s="70"/>
      <c r="G36" s="71"/>
    </row>
    <row r="37" spans="1:12" x14ac:dyDescent="0.3">
      <c r="B37" s="70"/>
      <c r="C37" s="70"/>
    </row>
    <row r="38" spans="1:12" ht="15" x14ac:dyDescent="0.3">
      <c r="A38" s="363" t="s">
        <v>19</v>
      </c>
      <c r="B38" s="363"/>
      <c r="C38" s="363"/>
      <c r="D38" s="28"/>
      <c r="E38" s="28"/>
      <c r="F38" s="28"/>
      <c r="G38" s="35"/>
      <c r="H38" s="28"/>
      <c r="I38" s="28"/>
      <c r="J38" s="28"/>
      <c r="K38" s="28"/>
      <c r="L38" s="28"/>
    </row>
    <row r="39" spans="1:12" ht="16.5" x14ac:dyDescent="0.35">
      <c r="A39" s="36" t="s">
        <v>20</v>
      </c>
      <c r="B39" s="37">
        <f>AVERAGE($B$12:$B$33)</f>
        <v>1373</v>
      </c>
      <c r="C39" s="37">
        <f>AVERAGE($C$12:$C$33)</f>
        <v>3.1310785641241528</v>
      </c>
      <c r="D39" s="36" t="s">
        <v>52</v>
      </c>
      <c r="E39" s="28"/>
      <c r="F39" s="28"/>
      <c r="G39" s="38"/>
      <c r="H39" s="28"/>
      <c r="I39" s="39"/>
      <c r="J39" s="39"/>
      <c r="K39" s="28"/>
      <c r="L39" s="28"/>
    </row>
    <row r="40" spans="1:12" ht="15" x14ac:dyDescent="0.3">
      <c r="A40" s="36" t="s">
        <v>21</v>
      </c>
      <c r="B40" s="37">
        <f>STDEV($B$12:$B$33)</f>
        <v>239.84240857775956</v>
      </c>
      <c r="C40" s="37">
        <f>STDEV($C$12:$C$33)</f>
        <v>7.8466198694576605E-2</v>
      </c>
      <c r="D40" s="36" t="s">
        <v>22</v>
      </c>
      <c r="E40" s="28"/>
      <c r="F40" s="28"/>
      <c r="G40" s="28"/>
      <c r="H40" s="28"/>
      <c r="I40" s="39"/>
      <c r="J40" s="39"/>
      <c r="K40" s="28"/>
      <c r="L40" s="28"/>
    </row>
    <row r="41" spans="1:12" ht="16.5" x14ac:dyDescent="0.35">
      <c r="A41" s="36" t="s">
        <v>23</v>
      </c>
      <c r="B41" s="37">
        <f>SKEW($B$12:$B$33)</f>
        <v>-1.9849260430706148E-2</v>
      </c>
      <c r="C41" s="37">
        <f>SKEW($C$12:$C$33)</f>
        <v>-0.45824967377680575</v>
      </c>
      <c r="D41" s="36" t="s">
        <v>53</v>
      </c>
      <c r="E41" s="28"/>
      <c r="F41" s="28"/>
      <c r="G41" s="28"/>
      <c r="H41" s="28"/>
      <c r="I41" s="39"/>
      <c r="J41" s="39"/>
      <c r="K41" s="28"/>
      <c r="L41" s="28"/>
    </row>
    <row r="42" spans="1:12" ht="15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2" ht="13.5" customHeight="1" x14ac:dyDescent="0.3">
      <c r="A43" s="363" t="s">
        <v>24</v>
      </c>
      <c r="B43" s="363"/>
      <c r="C43" s="363"/>
      <c r="D43" s="363"/>
      <c r="E43" s="363"/>
      <c r="F43" s="363"/>
      <c r="G43" s="363"/>
      <c r="H43" s="363"/>
      <c r="I43" s="363"/>
      <c r="J43" s="363"/>
      <c r="K43" s="363"/>
    </row>
    <row r="44" spans="1:12" ht="13.5" customHeight="1" x14ac:dyDescent="0.3">
      <c r="A44" s="28"/>
      <c r="D44" s="376" t="s">
        <v>267</v>
      </c>
      <c r="E44" s="377"/>
      <c r="F44" s="377"/>
      <c r="G44" s="377"/>
      <c r="H44" s="377"/>
      <c r="I44" s="377"/>
      <c r="J44" s="377"/>
      <c r="K44" s="378"/>
      <c r="L44" s="83"/>
    </row>
    <row r="45" spans="1:12" ht="15" x14ac:dyDescent="0.3">
      <c r="A45" s="366" t="s">
        <v>25</v>
      </c>
      <c r="B45" s="367" t="s">
        <v>26</v>
      </c>
      <c r="C45" s="367"/>
      <c r="D45" s="372" t="s">
        <v>8</v>
      </c>
      <c r="E45" s="372"/>
      <c r="F45" s="372"/>
      <c r="G45" s="372" t="s">
        <v>27</v>
      </c>
      <c r="H45" s="372"/>
      <c r="I45" s="372"/>
      <c r="J45" s="372" t="s">
        <v>7</v>
      </c>
      <c r="K45" s="372"/>
      <c r="L45" s="83"/>
    </row>
    <row r="46" spans="1:12" ht="16.5" x14ac:dyDescent="0.35">
      <c r="A46" s="366"/>
      <c r="B46" s="41" t="s">
        <v>28</v>
      </c>
      <c r="C46" s="41" t="s">
        <v>29</v>
      </c>
      <c r="D46" s="41" t="s">
        <v>30</v>
      </c>
      <c r="E46" s="41" t="s">
        <v>54</v>
      </c>
      <c r="F46" s="41" t="s">
        <v>31</v>
      </c>
      <c r="G46" s="41" t="s">
        <v>55</v>
      </c>
      <c r="H46" s="41" t="s">
        <v>54</v>
      </c>
      <c r="I46" s="41" t="s">
        <v>31</v>
      </c>
      <c r="J46" s="41" t="s">
        <v>32</v>
      </c>
      <c r="K46" s="41" t="s">
        <v>33</v>
      </c>
      <c r="L46" s="84"/>
    </row>
    <row r="47" spans="1:12" ht="15" x14ac:dyDescent="0.3">
      <c r="A47" s="62">
        <v>1</v>
      </c>
      <c r="B47" s="42">
        <f>1/A47</f>
        <v>1</v>
      </c>
      <c r="C47" s="42">
        <f>SQRT(LN(1/B47^2))</f>
        <v>0</v>
      </c>
      <c r="D47" s="42">
        <f t="shared" ref="D47:D59" si="1">C47-((2.51557+0.80285*C47+0.010328*C47^2)/(1+1.432788*C47+0.189269*C47^2+0.001308*C47^3))</f>
        <v>-2.5155699999999999</v>
      </c>
      <c r="E47" s="42">
        <f>$C$39+D47*$C$40</f>
        <v>2.9336913486740368</v>
      </c>
      <c r="F47" s="43">
        <f>(10)^E47</f>
        <v>858.40324096909444</v>
      </c>
      <c r="G47" s="42">
        <f>D47+(D47^2-1)*($C$41/6)+((D47^3-6*D47)*($C$41/6)^2)/3-(D47^2-1)*($C$41/6)^3+D47*($C$41/6)^4+1/3*($C$41/6)^5</f>
        <v>-2.9218203075888218</v>
      </c>
      <c r="H47" s="42">
        <f>$C$39+G47*$C$40</f>
        <v>2.9018144313190395</v>
      </c>
      <c r="I47" s="43">
        <f>(10)^H47</f>
        <v>797.65378680706385</v>
      </c>
      <c r="J47" s="44"/>
      <c r="K47" s="43"/>
      <c r="L47" s="84"/>
    </row>
    <row r="48" spans="1:12" ht="15" x14ac:dyDescent="0.3">
      <c r="A48" s="41">
        <v>2</v>
      </c>
      <c r="B48" s="42">
        <f>1/A48</f>
        <v>0.5</v>
      </c>
      <c r="C48" s="42">
        <f>SQRT(LN(1/B48^2))</f>
        <v>1.1774100225154747</v>
      </c>
      <c r="D48" s="42">
        <f t="shared" si="1"/>
        <v>-1.6861240179411041E-5</v>
      </c>
      <c r="E48" s="42">
        <f>$C$39+D48*$C$40</f>
        <v>3.1310772410867305</v>
      </c>
      <c r="F48" s="43">
        <f>(10)^E48</f>
        <v>1352.3130563300926</v>
      </c>
      <c r="G48" s="42">
        <f>D48+(D48^2-1)*($C$41/6)+((D48^3-6*D48)*($C$41/6)^2)/3-(D48^2-1)*($C$41/6)^3+D48*($C$41/6)^4+1/3*($C$41/6)^5</f>
        <v>7.5911909107708453E-2</v>
      </c>
      <c r="H48" s="42">
        <f>$C$39+G48*$C$40</f>
        <v>3.1370350830674827</v>
      </c>
      <c r="I48" s="43">
        <f>(10)^H48</f>
        <v>1370.9925128635991</v>
      </c>
      <c r="J48" s="44">
        <f t="shared" ref="J48:J59" si="2">-LN(LN(A48/(A48-1)))</f>
        <v>0.36651292058166435</v>
      </c>
      <c r="K48" s="43">
        <f t="shared" ref="K48:K59" si="3">B$39-(0.577*SQRT(6)*B$40/PI())+(SQRT(6)*B$40/PI())*J48</f>
        <v>1333.6379986843704</v>
      </c>
      <c r="L48" s="85"/>
    </row>
    <row r="49" spans="1:12" ht="15" x14ac:dyDescent="0.3">
      <c r="A49" s="41">
        <v>2.33</v>
      </c>
      <c r="B49" s="42">
        <f>1/A49</f>
        <v>0.42918454935622319</v>
      </c>
      <c r="C49" s="42">
        <f>SQRT(LN(1/B49^2))</f>
        <v>1.3006677266524369</v>
      </c>
      <c r="D49" s="42">
        <f t="shared" si="1"/>
        <v>0.17808428211113303</v>
      </c>
      <c r="E49" s="42">
        <f>$C$39+D49*$C$40</f>
        <v>3.1450521607886661</v>
      </c>
      <c r="F49" s="43">
        <f>(10)^E49</f>
        <v>1396.5360814671876</v>
      </c>
      <c r="G49" s="42">
        <f>D49+(D49^2-1)*($C$41/6)+((D49^3-6*D49)*($C$41/6)^2)/3-(D49^2-1)*($C$41/6)^3+D49*($C$41/6)^4+1/3*($C$41/6)^5</f>
        <v>0.24954429161799768</v>
      </c>
      <c r="H49" s="42">
        <f>$C$39+G49*$C$40</f>
        <v>3.1506593560933478</v>
      </c>
      <c r="I49" s="43">
        <f>(10)^H49</f>
        <v>1414.683721109458</v>
      </c>
      <c r="J49" s="44">
        <f t="shared" si="2"/>
        <v>0.57858831412193601</v>
      </c>
      <c r="K49" s="43">
        <f t="shared" si="3"/>
        <v>1373.2970216638953</v>
      </c>
      <c r="L49" s="85"/>
    </row>
    <row r="50" spans="1:12" ht="15" x14ac:dyDescent="0.3">
      <c r="A50" s="41">
        <v>5</v>
      </c>
      <c r="B50" s="42">
        <f>1/A50</f>
        <v>0.2</v>
      </c>
      <c r="C50" s="42">
        <f>SQRT(LN(1/B50^2))</f>
        <v>1.7941225779941015</v>
      </c>
      <c r="D50" s="42">
        <f t="shared" si="1"/>
        <v>0.84144534566621687</v>
      </c>
      <c r="E50" s="42">
        <f>$C$39+D50*$C$40</f>
        <v>3.1971035818078248</v>
      </c>
      <c r="F50" s="43">
        <f>(10)^E50</f>
        <v>1574.3583134793946</v>
      </c>
      <c r="G50" s="42">
        <f t="shared" ref="G50:G58" si="4">D50+(D50^2-1)*($C$41/6)+((D50^3-6*D50)*($C$41/6)^2)/3-(D50^2-1)*($C$41/6)^3+D50*($C$41/6)^4+1/3*($C$41/6)^5</f>
        <v>0.85498408351247912</v>
      </c>
      <c r="H50" s="42">
        <f>$C$39+G50*$C$40</f>
        <v>3.1981659151017432</v>
      </c>
      <c r="I50" s="43">
        <f>(10)^H50</f>
        <v>1578.2140854157904</v>
      </c>
      <c r="J50" s="44">
        <f t="shared" si="2"/>
        <v>1.4999399867595156</v>
      </c>
      <c r="K50" s="43">
        <f t="shared" si="3"/>
        <v>1545.5938004055492</v>
      </c>
      <c r="L50" s="85"/>
    </row>
    <row r="51" spans="1:12" ht="15" x14ac:dyDescent="0.3">
      <c r="A51" s="41">
        <v>10</v>
      </c>
      <c r="B51" s="42">
        <f>1/A51</f>
        <v>0.1</v>
      </c>
      <c r="C51" s="42">
        <f>SQRT(LN(1/B51^2))</f>
        <v>2.1459660262893472</v>
      </c>
      <c r="D51" s="42">
        <f t="shared" si="1"/>
        <v>1.2817193675751226</v>
      </c>
      <c r="E51" s="42">
        <f>$C$39+D51*$C$40</f>
        <v>3.2316502106909892</v>
      </c>
      <c r="F51" s="43">
        <f>(10)^E51</f>
        <v>1704.7088299448419</v>
      </c>
      <c r="G51" s="42">
        <f t="shared" si="4"/>
        <v>1.2220955553471948</v>
      </c>
      <c r="H51" s="42">
        <f>$C$39+G51*$C$40</f>
        <v>3.2269717567937848</v>
      </c>
      <c r="I51" s="43">
        <f>(10)^H51</f>
        <v>1686.4433483883608</v>
      </c>
      <c r="J51" s="44">
        <f t="shared" si="2"/>
        <v>2.2503673273124449</v>
      </c>
      <c r="K51" s="43">
        <f t="shared" si="3"/>
        <v>1685.92698402782</v>
      </c>
      <c r="L51" s="85"/>
    </row>
    <row r="52" spans="1:12" ht="15" x14ac:dyDescent="0.3">
      <c r="A52" s="41">
        <v>20</v>
      </c>
      <c r="B52" s="42">
        <f t="shared" ref="B52:B59" si="5">1/A52</f>
        <v>0.05</v>
      </c>
      <c r="C52" s="42">
        <f t="shared" ref="C52:C59" si="6">SQRT(LN(1/B52^2))</f>
        <v>2.4477468306808166</v>
      </c>
      <c r="D52" s="42">
        <f t="shared" si="1"/>
        <v>1.6452033739823797</v>
      </c>
      <c r="E52" s="42">
        <f t="shared" ref="E52:E59" si="7">$C$39+D52*$C$40</f>
        <v>3.2601714189600419</v>
      </c>
      <c r="F52" s="43">
        <f t="shared" ref="F52:F59" si="8">(10)^E52</f>
        <v>1820.4192485747451</v>
      </c>
      <c r="G52" s="42">
        <f t="shared" si="4"/>
        <v>1.5051352112732079</v>
      </c>
      <c r="H52" s="42">
        <f t="shared" ref="H52:H58" si="9">$C$39+G52*$C$40</f>
        <v>3.24918080267412</v>
      </c>
      <c r="I52" s="43">
        <f t="shared" ref="I52:I58" si="10">(10)^H52</f>
        <v>1774.9282537674003</v>
      </c>
      <c r="J52" s="44">
        <f t="shared" si="2"/>
        <v>2.9701952490421655</v>
      </c>
      <c r="K52" s="43">
        <f t="shared" si="3"/>
        <v>1820.5379429543755</v>
      </c>
      <c r="L52" s="85"/>
    </row>
    <row r="53" spans="1:12" ht="15" x14ac:dyDescent="0.3">
      <c r="A53" s="41">
        <v>50</v>
      </c>
      <c r="B53" s="42">
        <f t="shared" si="5"/>
        <v>0.02</v>
      </c>
      <c r="C53" s="42">
        <f t="shared" si="6"/>
        <v>2.7971496225365371</v>
      </c>
      <c r="D53" s="42">
        <f t="shared" si="1"/>
        <v>2.0541817439773808</v>
      </c>
      <c r="E53" s="42">
        <f t="shared" si="7"/>
        <v>3.2922623970018536</v>
      </c>
      <c r="F53" s="43">
        <f t="shared" si="8"/>
        <v>1960.0285482679385</v>
      </c>
      <c r="G53" s="42">
        <f t="shared" si="4"/>
        <v>1.8026727359098911</v>
      </c>
      <c r="H53" s="42">
        <f t="shared" si="9"/>
        <v>3.2725274412013543</v>
      </c>
      <c r="I53" s="43">
        <f t="shared" si="10"/>
        <v>1872.9554232804892</v>
      </c>
      <c r="J53" s="44">
        <f t="shared" si="2"/>
        <v>3.9019386579358333</v>
      </c>
      <c r="K53" s="43">
        <f t="shared" si="3"/>
        <v>1994.778021671088</v>
      </c>
      <c r="L53" s="85"/>
    </row>
    <row r="54" spans="1:12" ht="15" x14ac:dyDescent="0.3">
      <c r="A54" s="45">
        <v>100</v>
      </c>
      <c r="B54" s="46">
        <f t="shared" si="5"/>
        <v>0.01</v>
      </c>
      <c r="C54" s="46">
        <f t="shared" si="6"/>
        <v>3.0348542587702929</v>
      </c>
      <c r="D54" s="46">
        <f t="shared" si="1"/>
        <v>2.3267791744716506</v>
      </c>
      <c r="E54" s="46">
        <f t="shared" si="7"/>
        <v>3.3136520811466483</v>
      </c>
      <c r="F54" s="47">
        <f t="shared" si="8"/>
        <v>2058.979777402631</v>
      </c>
      <c r="G54" s="46">
        <f t="shared" si="4"/>
        <v>1.9890608292433625</v>
      </c>
      <c r="H54" s="46">
        <f t="shared" si="9"/>
        <v>3.2871526063671617</v>
      </c>
      <c r="I54" s="47">
        <f>(10)^H54</f>
        <v>1937.1025211702602</v>
      </c>
      <c r="J54" s="48">
        <f t="shared" si="2"/>
        <v>4.6001492267765736</v>
      </c>
      <c r="K54" s="47">
        <f t="shared" si="3"/>
        <v>2125.3464413823722</v>
      </c>
      <c r="L54" s="85"/>
    </row>
    <row r="55" spans="1:12" ht="15" x14ac:dyDescent="0.3">
      <c r="A55" s="41">
        <v>200</v>
      </c>
      <c r="B55" s="42">
        <f t="shared" si="5"/>
        <v>5.0000000000000001E-3</v>
      </c>
      <c r="C55" s="42">
        <f t="shared" si="6"/>
        <v>3.2552472614374586</v>
      </c>
      <c r="D55" s="42">
        <f t="shared" si="1"/>
        <v>2.5762304772515181</v>
      </c>
      <c r="E55" s="42">
        <f t="shared" si="7"/>
        <v>3.3332255766351944</v>
      </c>
      <c r="F55" s="43">
        <f t="shared" si="8"/>
        <v>2153.9002002338152</v>
      </c>
      <c r="G55" s="42">
        <f t="shared" si="4"/>
        <v>2.1514964407900505</v>
      </c>
      <c r="H55" s="42">
        <f t="shared" si="9"/>
        <v>3.2998983113378593</v>
      </c>
      <c r="I55" s="43">
        <f t="shared" si="10"/>
        <v>1994.7951853780989</v>
      </c>
      <c r="J55" s="44">
        <f t="shared" si="2"/>
        <v>5.295812142535044</v>
      </c>
      <c r="K55" s="43">
        <f t="shared" si="3"/>
        <v>2255.4384388626427</v>
      </c>
      <c r="L55" s="85"/>
    </row>
    <row r="56" spans="1:12" ht="15" x14ac:dyDescent="0.3">
      <c r="A56" s="41">
        <v>500</v>
      </c>
      <c r="B56" s="42">
        <f t="shared" si="5"/>
        <v>2E-3</v>
      </c>
      <c r="C56" s="42">
        <f t="shared" si="6"/>
        <v>3.5255093528232742</v>
      </c>
      <c r="D56" s="42">
        <f t="shared" si="1"/>
        <v>2.8785010937925581</v>
      </c>
      <c r="E56" s="42">
        <f t="shared" si="7"/>
        <v>3.3569436028922359</v>
      </c>
      <c r="F56" s="43">
        <f t="shared" si="8"/>
        <v>2274.8020077592519</v>
      </c>
      <c r="G56" s="42">
        <f t="shared" si="4"/>
        <v>2.3381870417116533</v>
      </c>
      <c r="H56" s="42">
        <f t="shared" si="9"/>
        <v>3.3145472131241838</v>
      </c>
      <c r="I56" s="43">
        <f t="shared" si="10"/>
        <v>2063.2279532432244</v>
      </c>
      <c r="J56" s="44">
        <f t="shared" si="2"/>
        <v>6.213607264087516</v>
      </c>
      <c r="K56" s="43">
        <f t="shared" si="3"/>
        <v>2427.0701270491995</v>
      </c>
      <c r="L56" s="85"/>
    </row>
    <row r="57" spans="1:12" ht="15" x14ac:dyDescent="0.3">
      <c r="A57" s="41">
        <v>1000</v>
      </c>
      <c r="B57" s="42">
        <f t="shared" si="5"/>
        <v>1E-3</v>
      </c>
      <c r="C57" s="42">
        <f t="shared" si="6"/>
        <v>3.7169221888498383</v>
      </c>
      <c r="D57" s="42">
        <f t="shared" si="1"/>
        <v>3.090517579776618</v>
      </c>
      <c r="E57" s="42">
        <f t="shared" si="7"/>
        <v>3.3735797306079869</v>
      </c>
      <c r="F57" s="43">
        <f t="shared" si="8"/>
        <v>2363.6312901426136</v>
      </c>
      <c r="G57" s="42">
        <f t="shared" si="4"/>
        <v>2.4626667544548901</v>
      </c>
      <c r="H57" s="42">
        <f t="shared" si="9"/>
        <v>3.3243146629977383</v>
      </c>
      <c r="I57" s="43">
        <f t="shared" si="10"/>
        <v>2110.1564854491958</v>
      </c>
      <c r="J57" s="44">
        <f t="shared" si="2"/>
        <v>6.907255070523628</v>
      </c>
      <c r="K57" s="43">
        <f t="shared" si="3"/>
        <v>2556.7852903027942</v>
      </c>
      <c r="L57" s="85"/>
    </row>
    <row r="58" spans="1:12" ht="15" x14ac:dyDescent="0.3">
      <c r="A58" s="41">
        <v>5000</v>
      </c>
      <c r="B58" s="42">
        <f t="shared" si="5"/>
        <v>2.0000000000000001E-4</v>
      </c>
      <c r="C58" s="42">
        <f t="shared" si="6"/>
        <v>4.1272734804992597</v>
      </c>
      <c r="D58" s="42">
        <f t="shared" si="1"/>
        <v>3.5402404913194201</v>
      </c>
      <c r="E58" s="42">
        <f t="shared" si="7"/>
        <v>3.408867777942608</v>
      </c>
      <c r="F58" s="43">
        <f t="shared" si="8"/>
        <v>2563.7033916840105</v>
      </c>
      <c r="G58" s="42">
        <f t="shared" si="4"/>
        <v>2.709615265649838</v>
      </c>
      <c r="H58" s="42">
        <f t="shared" si="9"/>
        <v>3.3436917739444909</v>
      </c>
      <c r="I58" s="43">
        <f t="shared" si="10"/>
        <v>2206.4382310925798</v>
      </c>
      <c r="J58" s="44">
        <f t="shared" si="2"/>
        <v>8.5170931830821246</v>
      </c>
      <c r="K58" s="43">
        <f t="shared" si="3"/>
        <v>2857.8320342625011</v>
      </c>
      <c r="L58" s="85"/>
    </row>
    <row r="59" spans="1:12" ht="15" x14ac:dyDescent="0.3">
      <c r="A59" s="41">
        <v>10000</v>
      </c>
      <c r="B59" s="42">
        <f t="shared" si="5"/>
        <v>1E-4</v>
      </c>
      <c r="C59" s="42">
        <f t="shared" si="6"/>
        <v>4.2919320525786944</v>
      </c>
      <c r="D59" s="42">
        <f t="shared" si="1"/>
        <v>3.7191205599951926</v>
      </c>
      <c r="E59" s="42">
        <f t="shared" si="7"/>
        <v>3.4229038169538204</v>
      </c>
      <c r="F59" s="43">
        <f t="shared" si="8"/>
        <v>2647.9136411604873</v>
      </c>
      <c r="G59" s="42">
        <f>D59+(D59^2-1)*($C$41/6)+((D59^3-6*D59)*($C$41/6)^2)/3-(D59^2-1)*($C$41/6)^3+D59*($C$41/6)^4+1/3*($C$41/6)^5</f>
        <v>2.8015655534535666</v>
      </c>
      <c r="H59" s="42">
        <f>$C$39+G59*$C$40</f>
        <v>3.350906763497322</v>
      </c>
      <c r="I59" s="43">
        <f>(10)^H59</f>
        <v>2243.4002477403246</v>
      </c>
      <c r="J59" s="44">
        <f t="shared" si="2"/>
        <v>9.2102903698935528</v>
      </c>
      <c r="K59" s="43">
        <f t="shared" si="3"/>
        <v>2987.462929682134</v>
      </c>
      <c r="L59" s="85"/>
    </row>
    <row r="60" spans="1:12" x14ac:dyDescent="0.3">
      <c r="L60" s="72"/>
    </row>
    <row r="61" spans="1:12" x14ac:dyDescent="0.3">
      <c r="A61" s="364"/>
      <c r="B61" s="364"/>
      <c r="C61" s="364"/>
      <c r="D61" s="364"/>
      <c r="E61" s="364"/>
      <c r="F61" s="364"/>
      <c r="G61" s="364"/>
      <c r="H61" s="364"/>
      <c r="I61" s="364"/>
      <c r="J61" s="73"/>
      <c r="K61" s="73"/>
      <c r="L61" s="72"/>
    </row>
    <row r="62" spans="1:12" x14ac:dyDescent="0.3">
      <c r="L62" s="72"/>
    </row>
    <row r="63" spans="1:12" x14ac:dyDescent="0.3">
      <c r="L63" s="72"/>
    </row>
    <row r="65" spans="1:11" ht="13.5" hidden="1" customHeight="1" x14ac:dyDescent="0.3">
      <c r="A65" s="364" t="s">
        <v>34</v>
      </c>
      <c r="B65" s="364"/>
      <c r="C65" s="364"/>
      <c r="D65" s="364"/>
      <c r="E65" s="364"/>
      <c r="F65" s="364"/>
      <c r="G65" s="364"/>
      <c r="H65" s="364"/>
      <c r="I65" s="364"/>
      <c r="J65" s="73"/>
      <c r="K65" s="73"/>
    </row>
    <row r="66" spans="1:11" hidden="1" x14ac:dyDescent="0.3">
      <c r="A66" s="73"/>
      <c r="B66" s="73"/>
      <c r="C66" s="73"/>
      <c r="D66" s="73"/>
      <c r="E66" s="364" t="s">
        <v>8</v>
      </c>
      <c r="F66" s="364"/>
      <c r="G66" s="365" t="s">
        <v>27</v>
      </c>
      <c r="H66" s="365"/>
      <c r="I66" s="73"/>
      <c r="J66" s="73"/>
      <c r="K66" s="73"/>
    </row>
    <row r="67" spans="1:11" hidden="1" x14ac:dyDescent="0.3">
      <c r="D67" s="29" t="s">
        <v>22</v>
      </c>
      <c r="E67" s="74"/>
      <c r="F67" s="74"/>
      <c r="G67" s="74"/>
    </row>
    <row r="68" spans="1:11" hidden="1" x14ac:dyDescent="0.3">
      <c r="D68" s="29" t="s">
        <v>74</v>
      </c>
      <c r="E68" s="74" t="e">
        <f>#REF!-#REF!</f>
        <v>#REF!</v>
      </c>
      <c r="F68" s="74"/>
      <c r="G68" s="74" t="e">
        <f>#REF!-#REF!</f>
        <v>#REF!</v>
      </c>
    </row>
    <row r="69" spans="1:11" hidden="1" x14ac:dyDescent="0.3">
      <c r="D69" s="29" t="s">
        <v>75</v>
      </c>
      <c r="E69" s="74">
        <f>D54-D48</f>
        <v>2.3267960357118298</v>
      </c>
      <c r="F69" s="74"/>
      <c r="G69" s="74">
        <f>G54-G48</f>
        <v>1.913148920135654</v>
      </c>
    </row>
    <row r="70" spans="1:11" hidden="1" x14ac:dyDescent="0.3">
      <c r="D70" s="29" t="s">
        <v>22</v>
      </c>
      <c r="E70" s="74" t="e">
        <f>E68/E69</f>
        <v>#REF!</v>
      </c>
      <c r="F70" s="74"/>
      <c r="G70" s="74" t="e">
        <f>G68/G69</f>
        <v>#REF!</v>
      </c>
    </row>
    <row r="71" spans="1:11" hidden="1" x14ac:dyDescent="0.3">
      <c r="D71" s="29" t="s">
        <v>76</v>
      </c>
      <c r="E71" s="74" t="e">
        <f>#REF!-D48*E70</f>
        <v>#REF!</v>
      </c>
      <c r="F71" s="74"/>
      <c r="G71" s="74" t="e">
        <f>#REF!-G48*G70</f>
        <v>#REF!</v>
      </c>
    </row>
    <row r="72" spans="1:11" hidden="1" x14ac:dyDescent="0.3">
      <c r="E72" s="74" t="e">
        <f>10^E71</f>
        <v>#REF!</v>
      </c>
      <c r="F72" s="74"/>
      <c r="G72" s="74" t="e">
        <f>10^G71</f>
        <v>#REF!</v>
      </c>
    </row>
    <row r="77" spans="1:11" x14ac:dyDescent="0.3">
      <c r="G77" s="75"/>
    </row>
  </sheetData>
  <mergeCells count="13">
    <mergeCell ref="A61:I61"/>
    <mergeCell ref="A65:I65"/>
    <mergeCell ref="E66:F66"/>
    <mergeCell ref="G66:H66"/>
    <mergeCell ref="A9:C9"/>
    <mergeCell ref="A38:C38"/>
    <mergeCell ref="A43:K43"/>
    <mergeCell ref="D44:K44"/>
    <mergeCell ref="A45:A46"/>
    <mergeCell ref="B45:C45"/>
    <mergeCell ref="D45:F45"/>
    <mergeCell ref="G45:I45"/>
    <mergeCell ref="J45:K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J93"/>
  <sheetViews>
    <sheetView topLeftCell="A43" zoomScaleNormal="100" workbookViewId="0">
      <selection activeCell="G9" sqref="G9:K63"/>
    </sheetView>
  </sheetViews>
  <sheetFormatPr defaultRowHeight="17.25" x14ac:dyDescent="0.35"/>
  <cols>
    <col min="1" max="1" width="5.85546875" style="23" customWidth="1"/>
    <col min="2" max="2" width="9.28515625" style="23" bestFit="1" customWidth="1"/>
    <col min="3" max="3" width="19.7109375" style="23" customWidth="1"/>
    <col min="4" max="4" width="29" style="23" customWidth="1"/>
    <col min="5" max="5" width="21" style="23" customWidth="1"/>
    <col min="6" max="6" width="17.5703125" style="23" customWidth="1"/>
    <col min="7" max="7" width="9.140625" style="23" customWidth="1"/>
    <col min="8" max="231" width="9.140625" style="23"/>
    <col min="232" max="232" width="5.85546875" style="23" customWidth="1"/>
    <col min="233" max="233" width="9.28515625" style="23" bestFit="1" customWidth="1"/>
    <col min="234" max="234" width="11.85546875" style="23" bestFit="1" customWidth="1"/>
    <col min="235" max="235" width="4.85546875" style="23" customWidth="1"/>
    <col min="236" max="237" width="9.28515625" style="23" bestFit="1" customWidth="1"/>
    <col min="238" max="238" width="3" style="23" customWidth="1"/>
    <col min="239" max="240" width="11.42578125" style="23" customWidth="1"/>
    <col min="241" max="16384" width="9.140625" style="23"/>
  </cols>
  <sheetData>
    <row r="1" spans="1:10" x14ac:dyDescent="0.35">
      <c r="B1" s="363" t="s">
        <v>44</v>
      </c>
      <c r="C1" s="363"/>
      <c r="D1" s="363"/>
      <c r="E1" s="363"/>
      <c r="F1" s="363"/>
    </row>
    <row r="2" spans="1:10" x14ac:dyDescent="0.35">
      <c r="B2" s="363" t="s">
        <v>63</v>
      </c>
      <c r="C2" s="363"/>
      <c r="D2" s="363"/>
      <c r="E2" s="363"/>
      <c r="F2" s="363"/>
    </row>
    <row r="3" spans="1:10" x14ac:dyDescent="0.35">
      <c r="B3" s="26" t="s">
        <v>11</v>
      </c>
      <c r="C3" s="27" t="s">
        <v>132</v>
      </c>
      <c r="D3" s="28"/>
      <c r="E3" s="28" t="s">
        <v>48</v>
      </c>
      <c r="F3" s="93">
        <v>930069</v>
      </c>
    </row>
    <row r="4" spans="1:10" x14ac:dyDescent="0.35">
      <c r="B4" s="26" t="s">
        <v>12</v>
      </c>
      <c r="C4" s="27" t="s">
        <v>35</v>
      </c>
      <c r="D4" s="28"/>
      <c r="E4" s="28" t="s">
        <v>49</v>
      </c>
      <c r="F4" s="93" t="s">
        <v>86</v>
      </c>
    </row>
    <row r="5" spans="1:10" x14ac:dyDescent="0.35">
      <c r="B5" s="26" t="s">
        <v>13</v>
      </c>
      <c r="C5" s="66">
        <v>43340</v>
      </c>
      <c r="D5" s="28"/>
      <c r="E5" s="28" t="s">
        <v>50</v>
      </c>
      <c r="F5" s="93" t="s">
        <v>87</v>
      </c>
    </row>
    <row r="6" spans="1:10" x14ac:dyDescent="0.35">
      <c r="B6" s="49" t="s">
        <v>57</v>
      </c>
      <c r="C6" s="77" t="s">
        <v>88</v>
      </c>
    </row>
    <row r="7" spans="1:10" x14ac:dyDescent="0.35">
      <c r="B7" s="49"/>
    </row>
    <row r="8" spans="1:10" x14ac:dyDescent="0.35">
      <c r="C8" s="49"/>
      <c r="D8" s="49"/>
      <c r="E8" s="50"/>
      <c r="F8" s="49"/>
    </row>
    <row r="9" spans="1:10" ht="55.5" customHeight="1" x14ac:dyDescent="0.35">
      <c r="A9" s="49"/>
      <c r="B9" s="386" t="s">
        <v>15</v>
      </c>
      <c r="C9" s="99" t="s">
        <v>244</v>
      </c>
      <c r="D9" s="99" t="s">
        <v>245</v>
      </c>
      <c r="E9" s="100" t="s">
        <v>247</v>
      </c>
      <c r="F9" s="100" t="s">
        <v>253</v>
      </c>
    </row>
    <row r="10" spans="1:10" x14ac:dyDescent="0.35">
      <c r="A10" s="49"/>
      <c r="B10" s="387"/>
      <c r="C10" s="91" t="s">
        <v>89</v>
      </c>
      <c r="D10" s="91" t="s">
        <v>89</v>
      </c>
      <c r="E10" s="91" t="s">
        <v>89</v>
      </c>
      <c r="F10" s="91" t="s">
        <v>89</v>
      </c>
      <c r="G10"/>
      <c r="J10" s="101"/>
    </row>
    <row r="11" spans="1:10" x14ac:dyDescent="0.35">
      <c r="A11" s="49"/>
      <c r="B11" s="103">
        <v>1964</v>
      </c>
      <c r="C11" s="91"/>
      <c r="D11" s="91"/>
      <c r="E11" s="91"/>
      <c r="F11" s="91"/>
      <c r="G11"/>
      <c r="I11"/>
    </row>
    <row r="12" spans="1:10" x14ac:dyDescent="0.35">
      <c r="A12" s="49"/>
      <c r="B12" s="103">
        <v>1965</v>
      </c>
      <c r="C12" s="91"/>
      <c r="D12" s="91"/>
      <c r="E12" s="91"/>
      <c r="F12" s="91"/>
      <c r="G12"/>
      <c r="I12"/>
    </row>
    <row r="13" spans="1:10" x14ac:dyDescent="0.35">
      <c r="A13" s="49"/>
      <c r="B13" s="103">
        <v>1966</v>
      </c>
      <c r="C13" s="91"/>
      <c r="D13" s="91"/>
      <c r="E13" s="91"/>
      <c r="F13" s="91"/>
      <c r="G13"/>
      <c r="I13"/>
    </row>
    <row r="14" spans="1:10" x14ac:dyDescent="0.35">
      <c r="A14" s="49"/>
      <c r="B14" s="103">
        <v>1967</v>
      </c>
      <c r="C14" s="91"/>
      <c r="D14" s="91"/>
      <c r="E14" s="91"/>
      <c r="F14" s="91"/>
      <c r="G14"/>
      <c r="I14"/>
    </row>
    <row r="15" spans="1:10" x14ac:dyDescent="0.35">
      <c r="A15" s="49"/>
      <c r="B15" s="103">
        <v>1968</v>
      </c>
      <c r="C15" s="91"/>
      <c r="D15" s="91"/>
      <c r="E15" s="91"/>
      <c r="F15" s="91"/>
      <c r="G15"/>
      <c r="I15"/>
    </row>
    <row r="16" spans="1:10" x14ac:dyDescent="0.35">
      <c r="A16" s="49"/>
      <c r="B16" s="103">
        <v>1969</v>
      </c>
      <c r="C16" s="91"/>
      <c r="D16" s="91"/>
      <c r="E16" s="91"/>
      <c r="F16" s="91"/>
      <c r="G16"/>
      <c r="I16"/>
    </row>
    <row r="17" spans="1:9" x14ac:dyDescent="0.35">
      <c r="A17" s="49"/>
      <c r="B17" s="103">
        <v>1970</v>
      </c>
      <c r="C17" s="91"/>
      <c r="D17" s="91"/>
      <c r="E17" s="91"/>
      <c r="F17" s="91"/>
      <c r="G17"/>
      <c r="I17"/>
    </row>
    <row r="18" spans="1:9" x14ac:dyDescent="0.35">
      <c r="A18" s="49"/>
      <c r="B18" s="103">
        <v>1971</v>
      </c>
      <c r="C18" s="91"/>
      <c r="D18" s="91"/>
      <c r="E18" s="91"/>
      <c r="F18" s="91"/>
      <c r="G18"/>
      <c r="I18"/>
    </row>
    <row r="19" spans="1:9" x14ac:dyDescent="0.35">
      <c r="A19" s="49"/>
      <c r="B19" s="103">
        <v>1972</v>
      </c>
      <c r="C19" s="91"/>
      <c r="D19" s="91"/>
      <c r="E19" s="91"/>
      <c r="F19" s="91"/>
      <c r="G19"/>
      <c r="I19"/>
    </row>
    <row r="20" spans="1:9" x14ac:dyDescent="0.35">
      <c r="A20" s="49"/>
      <c r="B20" s="103">
        <v>1973</v>
      </c>
      <c r="C20" s="91"/>
      <c r="D20" s="91"/>
      <c r="E20" s="91"/>
      <c r="F20" s="91"/>
      <c r="G20"/>
      <c r="I20"/>
    </row>
    <row r="21" spans="1:9" x14ac:dyDescent="0.35">
      <c r="A21" s="49"/>
      <c r="B21" s="51">
        <v>1974</v>
      </c>
      <c r="C21" s="88">
        <v>210</v>
      </c>
      <c r="D21" s="88">
        <v>65.7</v>
      </c>
      <c r="E21" s="88"/>
      <c r="F21" s="88"/>
      <c r="G21"/>
      <c r="I21"/>
    </row>
    <row r="22" spans="1:9" x14ac:dyDescent="0.35">
      <c r="A22" s="49"/>
      <c r="B22" s="51">
        <v>1975</v>
      </c>
      <c r="C22" s="88">
        <v>360</v>
      </c>
      <c r="D22" s="88">
        <v>66.599999999999994</v>
      </c>
      <c r="E22" s="88">
        <v>2170</v>
      </c>
      <c r="F22" s="88"/>
      <c r="G22"/>
      <c r="I22"/>
    </row>
    <row r="23" spans="1:9" x14ac:dyDescent="0.35">
      <c r="A23" s="49"/>
      <c r="B23" s="51">
        <v>1976</v>
      </c>
      <c r="C23" s="88">
        <v>222</v>
      </c>
      <c r="D23" s="88">
        <v>59.6</v>
      </c>
      <c r="E23" s="88">
        <v>2580</v>
      </c>
      <c r="F23" s="88"/>
      <c r="G23"/>
      <c r="I23"/>
    </row>
    <row r="24" spans="1:9" x14ac:dyDescent="0.35">
      <c r="A24" s="49"/>
      <c r="B24" s="51">
        <v>1977</v>
      </c>
      <c r="C24" s="88">
        <v>154</v>
      </c>
      <c r="D24" s="88"/>
      <c r="E24" s="88">
        <v>2740</v>
      </c>
      <c r="F24" s="88"/>
      <c r="G24"/>
      <c r="I24"/>
    </row>
    <row r="25" spans="1:9" ht="18" thickBot="1" x14ac:dyDescent="0.4">
      <c r="A25" s="49"/>
      <c r="B25" s="51">
        <v>1978</v>
      </c>
      <c r="C25" s="303">
        <f>+AVERAGE(C24,C26)</f>
        <v>343</v>
      </c>
      <c r="D25" s="88"/>
      <c r="E25" s="88">
        <v>2260</v>
      </c>
      <c r="F25" s="88"/>
      <c r="G25"/>
      <c r="I25"/>
    </row>
    <row r="26" spans="1:9" x14ac:dyDescent="0.35">
      <c r="A26" s="49"/>
      <c r="B26" s="51">
        <v>1979</v>
      </c>
      <c r="C26" s="88">
        <v>532</v>
      </c>
      <c r="D26" s="88">
        <v>88</v>
      </c>
      <c r="E26" s="88">
        <v>3710</v>
      </c>
      <c r="F26" s="88"/>
      <c r="G26"/>
      <c r="I26"/>
    </row>
    <row r="27" spans="1:9" ht="18" thickBot="1" x14ac:dyDescent="0.4">
      <c r="A27" s="49"/>
      <c r="B27" s="51">
        <v>1980</v>
      </c>
      <c r="C27" s="303">
        <f>+AVERAGE(C26,C28)</f>
        <v>373.5</v>
      </c>
      <c r="D27" s="88"/>
      <c r="E27" s="88">
        <v>3220</v>
      </c>
      <c r="F27" s="88"/>
      <c r="G27"/>
      <c r="I27"/>
    </row>
    <row r="28" spans="1:9" x14ac:dyDescent="0.35">
      <c r="A28" s="49"/>
      <c r="B28" s="51">
        <v>1981</v>
      </c>
      <c r="C28" s="88">
        <v>215</v>
      </c>
      <c r="D28" s="88"/>
      <c r="E28" s="88">
        <v>3400</v>
      </c>
      <c r="F28" s="88"/>
      <c r="G28"/>
      <c r="I28"/>
    </row>
    <row r="29" spans="1:9" x14ac:dyDescent="0.35">
      <c r="A29" s="49"/>
      <c r="B29" s="51">
        <v>1982</v>
      </c>
      <c r="C29" s="88">
        <v>489</v>
      </c>
      <c r="D29" s="88"/>
      <c r="E29" s="88">
        <v>3890</v>
      </c>
      <c r="F29" s="88"/>
      <c r="G29"/>
      <c r="I29"/>
    </row>
    <row r="30" spans="1:9" x14ac:dyDescent="0.35">
      <c r="A30" s="49"/>
      <c r="B30" s="51">
        <v>1983</v>
      </c>
      <c r="C30" s="88">
        <v>694</v>
      </c>
      <c r="D30" s="88"/>
      <c r="E30" s="88">
        <v>4280</v>
      </c>
      <c r="F30" s="88"/>
      <c r="G30"/>
      <c r="I30"/>
    </row>
    <row r="31" spans="1:9" x14ac:dyDescent="0.35">
      <c r="A31" s="49"/>
      <c r="B31" s="51">
        <v>1984</v>
      </c>
      <c r="C31" s="88">
        <v>131</v>
      </c>
      <c r="D31" s="88">
        <v>34.4</v>
      </c>
      <c r="E31" s="88">
        <v>2410</v>
      </c>
      <c r="F31" s="88"/>
      <c r="G31"/>
      <c r="I31"/>
    </row>
    <row r="32" spans="1:9" x14ac:dyDescent="0.35">
      <c r="A32" s="49"/>
      <c r="B32" s="51">
        <v>1985</v>
      </c>
      <c r="C32" s="88">
        <v>222</v>
      </c>
      <c r="D32" s="88">
        <v>41.6</v>
      </c>
      <c r="E32" s="88">
        <v>2480</v>
      </c>
      <c r="F32" s="88">
        <v>1420</v>
      </c>
      <c r="G32"/>
      <c r="I32"/>
    </row>
    <row r="33" spans="1:9" x14ac:dyDescent="0.35">
      <c r="A33" s="49"/>
      <c r="B33" s="51">
        <v>1986</v>
      </c>
      <c r="C33" s="88">
        <v>108</v>
      </c>
      <c r="D33" s="88">
        <v>50</v>
      </c>
      <c r="E33" s="88">
        <v>1700</v>
      </c>
      <c r="F33" s="88">
        <v>1270</v>
      </c>
      <c r="G33"/>
      <c r="I33"/>
    </row>
    <row r="34" spans="1:9" x14ac:dyDescent="0.35">
      <c r="A34" s="49"/>
      <c r="B34" s="51">
        <v>1987</v>
      </c>
      <c r="C34" s="88">
        <v>459</v>
      </c>
      <c r="D34" s="88">
        <v>38.200000000000003</v>
      </c>
      <c r="E34" s="88">
        <v>3550</v>
      </c>
      <c r="F34" s="88">
        <v>1520</v>
      </c>
      <c r="G34"/>
      <c r="I34"/>
    </row>
    <row r="35" spans="1:9" x14ac:dyDescent="0.35">
      <c r="A35" s="49"/>
      <c r="B35" s="51">
        <v>1988</v>
      </c>
      <c r="C35" s="88">
        <v>213</v>
      </c>
      <c r="D35" s="88">
        <v>62</v>
      </c>
      <c r="E35" s="88">
        <v>2340</v>
      </c>
      <c r="F35" s="88">
        <v>1370</v>
      </c>
      <c r="G35"/>
      <c r="I35"/>
    </row>
    <row r="36" spans="1:9" x14ac:dyDescent="0.35">
      <c r="A36" s="49"/>
      <c r="B36" s="51">
        <v>1989</v>
      </c>
      <c r="C36" s="88">
        <v>314</v>
      </c>
      <c r="D36" s="88">
        <v>20</v>
      </c>
      <c r="E36" s="88">
        <v>2020</v>
      </c>
      <c r="F36" s="88">
        <v>1270</v>
      </c>
      <c r="G36"/>
      <c r="I36"/>
    </row>
    <row r="37" spans="1:9" ht="18" thickBot="1" x14ac:dyDescent="0.4">
      <c r="A37" s="49"/>
      <c r="B37" s="51">
        <v>1990</v>
      </c>
      <c r="C37" s="303">
        <f>+AVERAGE(C36,C38)</f>
        <v>264.5</v>
      </c>
      <c r="D37" s="88">
        <v>31.6</v>
      </c>
      <c r="E37" s="88">
        <v>3280</v>
      </c>
      <c r="F37" s="88">
        <v>1170</v>
      </c>
      <c r="G37"/>
      <c r="I37"/>
    </row>
    <row r="38" spans="1:9" x14ac:dyDescent="0.35">
      <c r="A38" s="49"/>
      <c r="B38" s="51">
        <v>1991</v>
      </c>
      <c r="C38" s="88">
        <v>215</v>
      </c>
      <c r="D38" s="88">
        <v>32.799999999999997</v>
      </c>
      <c r="E38" s="88">
        <v>2390</v>
      </c>
      <c r="F38" s="88">
        <v>1470</v>
      </c>
      <c r="G38"/>
      <c r="I38"/>
    </row>
    <row r="39" spans="1:9" x14ac:dyDescent="0.35">
      <c r="A39" s="49"/>
      <c r="B39" s="51">
        <v>1992</v>
      </c>
      <c r="C39" s="88">
        <v>210</v>
      </c>
      <c r="D39" s="88"/>
      <c r="E39" s="88">
        <v>2100</v>
      </c>
      <c r="F39" s="88">
        <v>1270</v>
      </c>
      <c r="G39"/>
      <c r="I39"/>
    </row>
    <row r="40" spans="1:9" x14ac:dyDescent="0.35">
      <c r="A40" s="49"/>
      <c r="B40" s="51">
        <v>1993</v>
      </c>
      <c r="C40" s="88">
        <v>147</v>
      </c>
      <c r="D40" s="88"/>
      <c r="E40" s="88">
        <v>5720</v>
      </c>
      <c r="F40" s="88">
        <v>1470</v>
      </c>
      <c r="G40"/>
      <c r="I40"/>
    </row>
    <row r="41" spans="1:9" x14ac:dyDescent="0.35">
      <c r="A41" s="49"/>
      <c r="B41" s="51">
        <v>1994</v>
      </c>
      <c r="C41" s="88">
        <v>274</v>
      </c>
      <c r="D41" s="88">
        <v>44.5</v>
      </c>
      <c r="E41" s="88">
        <v>1400</v>
      </c>
      <c r="F41" s="88">
        <v>957</v>
      </c>
      <c r="G41"/>
      <c r="I41"/>
    </row>
    <row r="42" spans="1:9" x14ac:dyDescent="0.35">
      <c r="A42" s="49"/>
      <c r="B42" s="51">
        <v>1995</v>
      </c>
      <c r="C42" s="88">
        <v>129</v>
      </c>
      <c r="D42" s="88">
        <v>45.2</v>
      </c>
      <c r="E42" s="88">
        <v>2420</v>
      </c>
      <c r="F42" s="88">
        <v>1450</v>
      </c>
      <c r="G42"/>
      <c r="I42"/>
    </row>
    <row r="43" spans="1:9" x14ac:dyDescent="0.35">
      <c r="A43" s="49"/>
      <c r="B43" s="51">
        <v>1996</v>
      </c>
      <c r="C43" s="88">
        <v>340</v>
      </c>
      <c r="D43" s="88">
        <v>50</v>
      </c>
      <c r="E43" s="88">
        <v>3700</v>
      </c>
      <c r="F43" s="88">
        <v>1470</v>
      </c>
      <c r="G43"/>
      <c r="I43"/>
    </row>
    <row r="44" spans="1:9" x14ac:dyDescent="0.35">
      <c r="A44" s="49"/>
      <c r="B44" s="51">
        <v>1997</v>
      </c>
      <c r="C44" s="88">
        <v>108</v>
      </c>
      <c r="D44" s="88">
        <v>48.7</v>
      </c>
      <c r="E44" s="88">
        <v>2970</v>
      </c>
      <c r="F44" s="88">
        <v>1320</v>
      </c>
      <c r="G44"/>
      <c r="I44"/>
    </row>
    <row r="45" spans="1:9" x14ac:dyDescent="0.35">
      <c r="A45" s="49"/>
      <c r="B45" s="51">
        <v>1998</v>
      </c>
      <c r="C45" s="88">
        <v>98</v>
      </c>
      <c r="D45" s="88">
        <v>57.8</v>
      </c>
      <c r="E45" s="88">
        <v>4700</v>
      </c>
      <c r="F45" s="88">
        <v>1460</v>
      </c>
      <c r="G45"/>
      <c r="I45"/>
    </row>
    <row r="46" spans="1:9" x14ac:dyDescent="0.35">
      <c r="A46" s="49"/>
      <c r="B46" s="51">
        <v>1999</v>
      </c>
      <c r="C46" s="88">
        <v>139</v>
      </c>
      <c r="D46" s="88">
        <v>41</v>
      </c>
      <c r="E46" s="88">
        <v>3030</v>
      </c>
      <c r="F46" s="88">
        <v>1840</v>
      </c>
      <c r="G46"/>
      <c r="H46" s="101"/>
      <c r="I46"/>
    </row>
    <row r="47" spans="1:9" x14ac:dyDescent="0.35">
      <c r="A47" s="49"/>
      <c r="B47" s="51">
        <v>2000</v>
      </c>
      <c r="C47" s="88">
        <v>155</v>
      </c>
      <c r="D47" s="88">
        <v>33.200000000000003</v>
      </c>
      <c r="E47" s="88">
        <v>5700</v>
      </c>
      <c r="F47" s="88">
        <v>1800</v>
      </c>
      <c r="G47"/>
      <c r="I47"/>
    </row>
    <row r="48" spans="1:9" x14ac:dyDescent="0.35">
      <c r="A48" s="49"/>
      <c r="B48" s="51">
        <v>2001</v>
      </c>
      <c r="C48" s="88">
        <v>124</v>
      </c>
      <c r="D48" s="88">
        <v>40.4</v>
      </c>
      <c r="E48" s="88">
        <v>2970</v>
      </c>
      <c r="F48" s="88">
        <v>1130</v>
      </c>
      <c r="G48"/>
      <c r="H48" s="101"/>
      <c r="I48"/>
    </row>
    <row r="49" spans="1:9" x14ac:dyDescent="0.35">
      <c r="A49" s="49"/>
      <c r="B49" s="51">
        <v>2002</v>
      </c>
      <c r="C49" s="88">
        <v>110</v>
      </c>
      <c r="D49" s="88">
        <v>48.7</v>
      </c>
      <c r="E49" s="88">
        <v>3110</v>
      </c>
      <c r="F49" s="88">
        <v>1620</v>
      </c>
      <c r="G49"/>
      <c r="I49"/>
    </row>
    <row r="50" spans="1:9" x14ac:dyDescent="0.35">
      <c r="A50" s="49"/>
      <c r="B50" s="51">
        <v>2003</v>
      </c>
      <c r="C50" s="88">
        <v>417</v>
      </c>
      <c r="D50" s="88">
        <v>20.6</v>
      </c>
      <c r="E50" s="88">
        <v>2840</v>
      </c>
      <c r="F50" s="88">
        <v>1350</v>
      </c>
      <c r="G50"/>
      <c r="H50" s="101"/>
      <c r="I50"/>
    </row>
    <row r="51" spans="1:9" x14ac:dyDescent="0.35">
      <c r="A51" s="49"/>
      <c r="B51" s="51">
        <v>2004</v>
      </c>
      <c r="C51" s="88">
        <v>112</v>
      </c>
      <c r="D51" s="88">
        <v>57.1</v>
      </c>
      <c r="E51" s="88">
        <v>2200</v>
      </c>
      <c r="F51" s="88">
        <v>1010</v>
      </c>
      <c r="G51"/>
      <c r="H51" s="101"/>
      <c r="I51"/>
    </row>
    <row r="52" spans="1:9" x14ac:dyDescent="0.35">
      <c r="A52" s="49"/>
      <c r="B52" s="51">
        <v>2005</v>
      </c>
      <c r="C52" s="88">
        <v>98</v>
      </c>
      <c r="D52" s="88">
        <v>26.6</v>
      </c>
      <c r="E52" s="88">
        <v>2530</v>
      </c>
      <c r="F52" s="88">
        <v>1620</v>
      </c>
      <c r="G52"/>
      <c r="H52" s="101"/>
      <c r="I52"/>
    </row>
    <row r="53" spans="1:9" x14ac:dyDescent="0.35">
      <c r="A53" s="49"/>
      <c r="B53" s="51">
        <v>2006</v>
      </c>
      <c r="C53" s="88">
        <v>124</v>
      </c>
      <c r="D53" s="88">
        <v>32</v>
      </c>
      <c r="E53" s="88">
        <v>2000</v>
      </c>
      <c r="F53" s="88">
        <v>949</v>
      </c>
      <c r="G53"/>
      <c r="I53"/>
    </row>
    <row r="54" spans="1:9" x14ac:dyDescent="0.35">
      <c r="B54" s="51">
        <v>2007</v>
      </c>
      <c r="C54" s="88">
        <v>111</v>
      </c>
      <c r="D54" s="88">
        <v>61.3</v>
      </c>
      <c r="E54" s="88" t="s">
        <v>90</v>
      </c>
      <c r="F54" s="88"/>
      <c r="I54"/>
    </row>
    <row r="55" spans="1:9" x14ac:dyDescent="0.35">
      <c r="B55" s="51">
        <v>2008</v>
      </c>
      <c r="C55" s="88">
        <v>133</v>
      </c>
      <c r="D55" s="88">
        <v>48.8</v>
      </c>
      <c r="E55" s="88" t="s">
        <v>90</v>
      </c>
      <c r="F55" s="88"/>
      <c r="I55"/>
    </row>
    <row r="56" spans="1:9" x14ac:dyDescent="0.35">
      <c r="B56" s="51">
        <v>2009</v>
      </c>
      <c r="C56" s="88">
        <v>243</v>
      </c>
      <c r="D56" s="88">
        <v>56.4</v>
      </c>
      <c r="E56" s="88" t="s">
        <v>90</v>
      </c>
      <c r="F56" s="88"/>
      <c r="I56"/>
    </row>
    <row r="57" spans="1:9" x14ac:dyDescent="0.35">
      <c r="B57" s="51">
        <v>2010</v>
      </c>
      <c r="C57" s="88">
        <v>312</v>
      </c>
      <c r="D57" s="88">
        <v>20</v>
      </c>
      <c r="E57" s="88" t="s">
        <v>90</v>
      </c>
      <c r="F57" s="88"/>
      <c r="I57"/>
    </row>
    <row r="58" spans="1:9" x14ac:dyDescent="0.35">
      <c r="B58" s="51">
        <v>2011</v>
      </c>
      <c r="C58" s="88">
        <v>250</v>
      </c>
      <c r="D58" s="88">
        <v>61.4</v>
      </c>
      <c r="E58" s="88" t="s">
        <v>90</v>
      </c>
      <c r="F58" s="88"/>
      <c r="I58"/>
    </row>
    <row r="59" spans="1:9" x14ac:dyDescent="0.35">
      <c r="B59" s="51">
        <v>2012</v>
      </c>
      <c r="C59" s="88">
        <v>272</v>
      </c>
      <c r="D59" s="88">
        <v>59</v>
      </c>
      <c r="E59" s="88" t="s">
        <v>90</v>
      </c>
      <c r="F59" s="88"/>
      <c r="I59"/>
    </row>
    <row r="60" spans="1:9" x14ac:dyDescent="0.35">
      <c r="B60" s="51">
        <v>2013</v>
      </c>
      <c r="C60" s="88">
        <v>164</v>
      </c>
      <c r="D60" s="88">
        <v>32</v>
      </c>
      <c r="E60" s="88" t="s">
        <v>90</v>
      </c>
      <c r="F60" s="88"/>
      <c r="I60"/>
    </row>
    <row r="61" spans="1:9" x14ac:dyDescent="0.35">
      <c r="B61" s="51">
        <v>2014</v>
      </c>
      <c r="C61" s="88">
        <v>302</v>
      </c>
      <c r="D61" s="88">
        <v>18.399999999999999</v>
      </c>
      <c r="E61" s="88" t="s">
        <v>90</v>
      </c>
      <c r="F61" s="88"/>
      <c r="I61"/>
    </row>
    <row r="62" spans="1:9" x14ac:dyDescent="0.35">
      <c r="B62" s="51">
        <v>2015</v>
      </c>
      <c r="C62" s="88">
        <v>367</v>
      </c>
      <c r="D62" s="88">
        <v>56</v>
      </c>
      <c r="E62" s="88" t="s">
        <v>90</v>
      </c>
      <c r="F62" s="88"/>
      <c r="I62"/>
    </row>
    <row r="63" spans="1:9" x14ac:dyDescent="0.35">
      <c r="B63" s="51"/>
      <c r="C63" s="79"/>
      <c r="D63" s="94"/>
      <c r="E63" s="79"/>
      <c r="F63" s="79"/>
    </row>
    <row r="64" spans="1:9" x14ac:dyDescent="0.35">
      <c r="B64" s="95"/>
    </row>
    <row r="65" spans="2:2" x14ac:dyDescent="0.35">
      <c r="B65" s="52"/>
    </row>
    <row r="66" spans="2:2" x14ac:dyDescent="0.35">
      <c r="B66" s="52"/>
    </row>
    <row r="67" spans="2:2" x14ac:dyDescent="0.35">
      <c r="B67" s="52"/>
    </row>
    <row r="68" spans="2:2" x14ac:dyDescent="0.35">
      <c r="B68" s="52"/>
    </row>
    <row r="69" spans="2:2" x14ac:dyDescent="0.35">
      <c r="B69" s="52"/>
    </row>
    <row r="70" spans="2:2" x14ac:dyDescent="0.35">
      <c r="B70" s="52"/>
    </row>
    <row r="89" spans="2:6" x14ac:dyDescent="0.35">
      <c r="B89" s="363" t="s">
        <v>44</v>
      </c>
      <c r="C89" s="363"/>
      <c r="D89" s="363"/>
      <c r="E89" s="363"/>
      <c r="F89" s="363"/>
    </row>
    <row r="90" spans="2:6" x14ac:dyDescent="0.35">
      <c r="B90" s="363" t="s">
        <v>10</v>
      </c>
      <c r="C90" s="363"/>
      <c r="D90" s="363"/>
      <c r="E90" s="363"/>
      <c r="F90" s="363"/>
    </row>
    <row r="91" spans="2:6" x14ac:dyDescent="0.35">
      <c r="B91" s="26" t="s">
        <v>11</v>
      </c>
      <c r="C91" s="26" t="s">
        <v>43</v>
      </c>
      <c r="D91" s="28"/>
      <c r="E91" s="28" t="s">
        <v>48</v>
      </c>
      <c r="F91" s="28"/>
    </row>
    <row r="92" spans="2:6" x14ac:dyDescent="0.35">
      <c r="B92" s="26" t="s">
        <v>12</v>
      </c>
      <c r="C92" s="26" t="s">
        <v>56</v>
      </c>
      <c r="D92" s="28"/>
      <c r="E92" s="28" t="s">
        <v>49</v>
      </c>
      <c r="F92" s="28"/>
    </row>
    <row r="93" spans="2:6" x14ac:dyDescent="0.35">
      <c r="B93" s="26" t="s">
        <v>13</v>
      </c>
      <c r="C93" s="25">
        <v>41178</v>
      </c>
      <c r="D93" s="28"/>
      <c r="E93" s="28" t="s">
        <v>50</v>
      </c>
      <c r="F93" s="28"/>
    </row>
  </sheetData>
  <mergeCells count="5">
    <mergeCell ref="B1:F1"/>
    <mergeCell ref="B2:F2"/>
    <mergeCell ref="B9:B10"/>
    <mergeCell ref="B89:F89"/>
    <mergeCell ref="B90:F9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>
    <tabColor theme="6" tint="-0.499984740745262"/>
  </sheetPr>
  <dimension ref="A1:P101"/>
  <sheetViews>
    <sheetView topLeftCell="A46" zoomScaleNormal="100" workbookViewId="0">
      <selection activeCell="A81" sqref="A81"/>
    </sheetView>
  </sheetViews>
  <sheetFormatPr defaultRowHeight="13.5" x14ac:dyDescent="0.3"/>
  <cols>
    <col min="1" max="1" width="10.7109375" style="29" customWidth="1"/>
    <col min="2" max="2" width="13.85546875" style="29" customWidth="1"/>
    <col min="3" max="3" width="10.28515625" style="29" customWidth="1"/>
    <col min="4" max="4" width="6.140625" style="29" bestFit="1" customWidth="1"/>
    <col min="5" max="5" width="35.140625" style="29" bestFit="1" customWidth="1"/>
    <col min="6" max="6" width="9.28515625" style="29" customWidth="1"/>
    <col min="7" max="7" width="6.5703125" style="29" customWidth="1"/>
    <col min="8" max="8" width="7.140625" style="29" customWidth="1"/>
    <col min="9" max="9" width="8.5703125" style="29" bestFit="1" customWidth="1"/>
    <col min="10" max="10" width="7.5703125" style="29" customWidth="1"/>
    <col min="11" max="11" width="9.42578125" style="29" customWidth="1"/>
    <col min="12" max="12" width="8.85546875" style="29" customWidth="1"/>
    <col min="13" max="16384" width="9.140625" style="29"/>
  </cols>
  <sheetData>
    <row r="1" spans="1:16" ht="12.75" customHeight="1" x14ac:dyDescent="0.3">
      <c r="A1" s="61" t="s">
        <v>44</v>
      </c>
      <c r="B1" s="61"/>
      <c r="E1" s="28" t="s">
        <v>133</v>
      </c>
      <c r="F1" s="28"/>
      <c r="M1" s="61"/>
      <c r="N1" s="61"/>
      <c r="O1" s="61"/>
      <c r="P1" s="61"/>
    </row>
    <row r="2" spans="1:16" ht="12.75" customHeight="1" x14ac:dyDescent="0.3">
      <c r="A2" s="61" t="s">
        <v>63</v>
      </c>
      <c r="B2" s="61"/>
      <c r="E2" s="28" t="s">
        <v>134</v>
      </c>
      <c r="F2" s="28"/>
      <c r="M2" s="61"/>
      <c r="N2" s="61"/>
      <c r="O2" s="61"/>
      <c r="P2" s="61"/>
    </row>
    <row r="3" spans="1:16" ht="12.75" customHeight="1" x14ac:dyDescent="0.3">
      <c r="A3" s="26" t="s">
        <v>11</v>
      </c>
      <c r="B3" s="27" t="s">
        <v>132</v>
      </c>
      <c r="C3" s="26"/>
      <c r="D3" s="28"/>
      <c r="E3" s="28" t="s">
        <v>51</v>
      </c>
      <c r="M3" s="61"/>
      <c r="N3" s="61"/>
      <c r="O3" s="61"/>
      <c r="P3" s="61"/>
    </row>
    <row r="4" spans="1:16" ht="12.75" customHeight="1" x14ac:dyDescent="0.3">
      <c r="A4" s="26" t="s">
        <v>12</v>
      </c>
      <c r="B4" s="26" t="s">
        <v>45</v>
      </c>
      <c r="C4" s="26"/>
      <c r="D4" s="28"/>
      <c r="E4" s="28"/>
      <c r="M4" s="61"/>
      <c r="N4" s="61"/>
      <c r="O4" s="61"/>
      <c r="P4" s="61"/>
    </row>
    <row r="5" spans="1:16" ht="12.75" customHeight="1" x14ac:dyDescent="0.3">
      <c r="A5" s="26" t="s">
        <v>13</v>
      </c>
      <c r="B5" s="25">
        <v>43340</v>
      </c>
      <c r="C5" s="31"/>
      <c r="D5" s="28"/>
      <c r="E5" s="28"/>
      <c r="M5" s="61"/>
      <c r="N5" s="61"/>
      <c r="O5" s="61"/>
      <c r="P5" s="61"/>
    </row>
    <row r="6" spans="1:16" ht="12.75" customHeight="1" x14ac:dyDescent="0.3">
      <c r="A6" s="26" t="s">
        <v>42</v>
      </c>
      <c r="B6" s="25"/>
      <c r="C6" s="32" t="s">
        <v>78</v>
      </c>
      <c r="D6" s="28"/>
      <c r="E6" s="28"/>
      <c r="L6" s="30"/>
      <c r="M6" s="61"/>
      <c r="N6" s="61"/>
      <c r="O6" s="61"/>
      <c r="P6" s="61"/>
    </row>
    <row r="7" spans="1:16" ht="12.75" customHeight="1" x14ac:dyDescent="0.35">
      <c r="A7" s="26" t="s">
        <v>46</v>
      </c>
      <c r="B7" s="26"/>
      <c r="C7" s="67">
        <v>439.35</v>
      </c>
      <c r="D7" s="26"/>
      <c r="E7" s="26"/>
      <c r="F7" s="23"/>
      <c r="G7" s="23"/>
      <c r="L7" s="30"/>
      <c r="M7" s="61"/>
      <c r="N7" s="61"/>
      <c r="O7" s="61"/>
      <c r="P7" s="61"/>
    </row>
    <row r="8" spans="1:16" ht="12.75" customHeight="1" x14ac:dyDescent="0.35">
      <c r="A8" s="26" t="s">
        <v>47</v>
      </c>
      <c r="B8" s="26"/>
      <c r="C8" s="24" t="s">
        <v>80</v>
      </c>
      <c r="D8" s="26"/>
      <c r="E8" s="26"/>
      <c r="F8" s="23"/>
      <c r="G8" s="23"/>
      <c r="L8" s="30"/>
      <c r="M8" s="61"/>
      <c r="N8" s="61"/>
      <c r="O8" s="61"/>
      <c r="P8" s="61"/>
    </row>
    <row r="9" spans="1:16" ht="15" x14ac:dyDescent="0.3">
      <c r="A9" s="363" t="s">
        <v>14</v>
      </c>
      <c r="B9" s="363"/>
      <c r="C9" s="363"/>
    </row>
    <row r="10" spans="1:16" ht="15" x14ac:dyDescent="0.3">
      <c r="A10" s="33" t="s">
        <v>15</v>
      </c>
      <c r="B10" s="33" t="s">
        <v>16</v>
      </c>
      <c r="C10" s="33"/>
    </row>
    <row r="11" spans="1:16" ht="15" x14ac:dyDescent="0.3">
      <c r="A11" s="33"/>
      <c r="B11" s="34" t="s">
        <v>17</v>
      </c>
      <c r="C11" s="33" t="s">
        <v>18</v>
      </c>
    </row>
    <row r="12" spans="1:16" ht="15" x14ac:dyDescent="0.3">
      <c r="A12" s="80">
        <v>1974</v>
      </c>
      <c r="B12" s="98"/>
      <c r="C12" s="82" t="str">
        <f t="shared" ref="C12:C53" si="0">IF(B12="","",LOG(B12))</f>
        <v/>
      </c>
    </row>
    <row r="13" spans="1:16" ht="15" x14ac:dyDescent="0.3">
      <c r="A13" s="80">
        <v>1975</v>
      </c>
      <c r="B13" s="98"/>
      <c r="C13" s="82" t="str">
        <f t="shared" si="0"/>
        <v/>
      </c>
    </row>
    <row r="14" spans="1:16" ht="15" x14ac:dyDescent="0.3">
      <c r="A14" s="80">
        <v>1976</v>
      </c>
      <c r="B14" s="98"/>
      <c r="C14" s="82" t="str">
        <f t="shared" si="0"/>
        <v/>
      </c>
    </row>
    <row r="15" spans="1:16" ht="15" x14ac:dyDescent="0.3">
      <c r="A15" s="80">
        <v>1977</v>
      </c>
      <c r="B15" s="98"/>
      <c r="C15" s="82" t="str">
        <f t="shared" si="0"/>
        <v/>
      </c>
    </row>
    <row r="16" spans="1:16" ht="15" x14ac:dyDescent="0.3">
      <c r="A16" s="80">
        <v>1978</v>
      </c>
      <c r="B16" s="98"/>
      <c r="C16" s="82" t="str">
        <f t="shared" si="0"/>
        <v/>
      </c>
    </row>
    <row r="17" spans="1:7" ht="15" x14ac:dyDescent="0.3">
      <c r="A17" s="80">
        <v>1979</v>
      </c>
      <c r="B17" s="98"/>
      <c r="C17" s="82" t="str">
        <f t="shared" si="0"/>
        <v/>
      </c>
    </row>
    <row r="18" spans="1:7" ht="15" x14ac:dyDescent="0.3">
      <c r="A18" s="80">
        <v>1980</v>
      </c>
      <c r="B18" s="98"/>
      <c r="C18" s="82" t="str">
        <f t="shared" si="0"/>
        <v/>
      </c>
    </row>
    <row r="19" spans="1:7" ht="15" x14ac:dyDescent="0.3">
      <c r="A19" s="80">
        <v>1981</v>
      </c>
      <c r="B19" s="98"/>
      <c r="C19" s="82" t="str">
        <f t="shared" si="0"/>
        <v/>
      </c>
    </row>
    <row r="20" spans="1:7" ht="15" x14ac:dyDescent="0.3">
      <c r="A20" s="80">
        <v>1982</v>
      </c>
      <c r="B20" s="98"/>
      <c r="C20" s="82" t="str">
        <f t="shared" si="0"/>
        <v/>
      </c>
    </row>
    <row r="21" spans="1:7" ht="15" x14ac:dyDescent="0.3">
      <c r="A21" s="80">
        <v>1983</v>
      </c>
      <c r="B21" s="98"/>
      <c r="C21" s="82" t="str">
        <f t="shared" si="0"/>
        <v/>
      </c>
    </row>
    <row r="22" spans="1:7" ht="15" x14ac:dyDescent="0.3">
      <c r="A22" s="80">
        <v>1984</v>
      </c>
      <c r="B22" s="98"/>
      <c r="C22" s="82" t="str">
        <f t="shared" si="0"/>
        <v/>
      </c>
    </row>
    <row r="23" spans="1:7" ht="15" x14ac:dyDescent="0.3">
      <c r="A23" s="80">
        <v>1985</v>
      </c>
      <c r="B23" s="98"/>
      <c r="C23" s="82" t="str">
        <f t="shared" si="0"/>
        <v/>
      </c>
    </row>
    <row r="24" spans="1:7" ht="15" x14ac:dyDescent="0.3">
      <c r="A24" s="80">
        <v>1986</v>
      </c>
      <c r="B24" s="34"/>
      <c r="C24" s="82" t="str">
        <f t="shared" si="0"/>
        <v/>
      </c>
    </row>
    <row r="25" spans="1:7" ht="15" x14ac:dyDescent="0.3">
      <c r="A25" s="80">
        <v>1987</v>
      </c>
      <c r="B25" s="34"/>
      <c r="C25" s="82" t="str">
        <f t="shared" si="0"/>
        <v/>
      </c>
    </row>
    <row r="26" spans="1:7" ht="15" x14ac:dyDescent="0.3">
      <c r="A26" s="80">
        <v>1988</v>
      </c>
      <c r="B26" s="97"/>
      <c r="C26" s="82" t="str">
        <f t="shared" si="0"/>
        <v/>
      </c>
      <c r="F26" s="52"/>
      <c r="G26" s="68"/>
    </row>
    <row r="27" spans="1:7" ht="15" x14ac:dyDescent="0.3">
      <c r="A27" s="80">
        <v>1989</v>
      </c>
      <c r="B27" s="97"/>
      <c r="C27" s="82" t="str">
        <f t="shared" si="0"/>
        <v/>
      </c>
      <c r="F27" s="52"/>
      <c r="G27" s="68"/>
    </row>
    <row r="28" spans="1:7" ht="15" x14ac:dyDescent="0.3">
      <c r="A28" s="80">
        <v>1990</v>
      </c>
      <c r="B28" s="97"/>
      <c r="C28" s="82" t="str">
        <f t="shared" si="0"/>
        <v/>
      </c>
      <c r="F28" s="52"/>
      <c r="G28" s="68"/>
    </row>
    <row r="29" spans="1:7" ht="15" x14ac:dyDescent="0.3">
      <c r="A29" s="80">
        <v>1991</v>
      </c>
      <c r="B29" s="97"/>
      <c r="C29" s="82" t="str">
        <f t="shared" si="0"/>
        <v/>
      </c>
      <c r="F29" s="52"/>
      <c r="G29" s="68"/>
    </row>
    <row r="30" spans="1:7" ht="15" x14ac:dyDescent="0.3">
      <c r="A30" s="80">
        <v>1992</v>
      </c>
      <c r="B30" s="97"/>
      <c r="C30" s="82" t="str">
        <f t="shared" si="0"/>
        <v/>
      </c>
      <c r="F30" s="52"/>
      <c r="G30" s="68"/>
    </row>
    <row r="31" spans="1:7" ht="15" x14ac:dyDescent="0.3">
      <c r="A31" s="80">
        <v>1993</v>
      </c>
      <c r="B31" s="97"/>
      <c r="C31" s="82" t="str">
        <f t="shared" si="0"/>
        <v/>
      </c>
      <c r="F31" s="52"/>
      <c r="G31" s="68"/>
    </row>
    <row r="32" spans="1:7" ht="15" x14ac:dyDescent="0.3">
      <c r="A32" s="80">
        <v>1994</v>
      </c>
      <c r="B32" s="97"/>
      <c r="C32" s="82" t="str">
        <f t="shared" si="0"/>
        <v/>
      </c>
      <c r="F32" s="52"/>
      <c r="G32" s="68"/>
    </row>
    <row r="33" spans="1:7" ht="15" x14ac:dyDescent="0.3">
      <c r="A33" s="80">
        <v>1995</v>
      </c>
      <c r="B33" s="97"/>
      <c r="C33" s="82" t="str">
        <f t="shared" si="0"/>
        <v/>
      </c>
      <c r="F33" s="52"/>
      <c r="G33" s="68"/>
    </row>
    <row r="34" spans="1:7" ht="15" x14ac:dyDescent="0.3">
      <c r="A34" s="80">
        <v>1996</v>
      </c>
      <c r="B34" s="97"/>
      <c r="C34" s="82" t="str">
        <f t="shared" si="0"/>
        <v/>
      </c>
      <c r="F34" s="52"/>
      <c r="G34" s="68"/>
    </row>
    <row r="35" spans="1:7" ht="15" x14ac:dyDescent="0.3">
      <c r="A35" s="80">
        <v>1997</v>
      </c>
      <c r="B35" s="97"/>
      <c r="C35" s="82" t="str">
        <f t="shared" si="0"/>
        <v/>
      </c>
      <c r="F35" s="52"/>
      <c r="G35" s="68"/>
    </row>
    <row r="36" spans="1:7" ht="15" x14ac:dyDescent="0.3">
      <c r="A36" s="80">
        <v>1998</v>
      </c>
      <c r="B36" s="97"/>
      <c r="C36" s="82" t="str">
        <f t="shared" si="0"/>
        <v/>
      </c>
      <c r="F36" s="54"/>
      <c r="G36" s="68"/>
    </row>
    <row r="37" spans="1:7" ht="15" x14ac:dyDescent="0.3">
      <c r="A37" s="80">
        <v>1999</v>
      </c>
      <c r="B37" s="97"/>
      <c r="C37" s="82" t="str">
        <f t="shared" si="0"/>
        <v/>
      </c>
      <c r="F37" s="54"/>
      <c r="G37" s="68"/>
    </row>
    <row r="38" spans="1:7" ht="15" x14ac:dyDescent="0.3">
      <c r="A38" s="80">
        <v>2000</v>
      </c>
      <c r="B38" s="97">
        <f>+'Extreme data'!D47</f>
        <v>33.200000000000003</v>
      </c>
      <c r="C38" s="82">
        <f t="shared" si="0"/>
        <v>1.5211380837040362</v>
      </c>
      <c r="F38" s="54"/>
      <c r="G38" s="68"/>
    </row>
    <row r="39" spans="1:7" ht="15" x14ac:dyDescent="0.3">
      <c r="A39" s="80">
        <v>2001</v>
      </c>
      <c r="B39" s="97">
        <f>+'Extreme data'!D48</f>
        <v>40.4</v>
      </c>
      <c r="C39" s="82">
        <f t="shared" si="0"/>
        <v>1.6063813651106049</v>
      </c>
      <c r="F39" s="54"/>
      <c r="G39" s="68"/>
    </row>
    <row r="40" spans="1:7" ht="15" x14ac:dyDescent="0.3">
      <c r="A40" s="80">
        <v>2002</v>
      </c>
      <c r="B40" s="97">
        <f>+'Extreme data'!D49</f>
        <v>48.7</v>
      </c>
      <c r="C40" s="82">
        <f t="shared" si="0"/>
        <v>1.6875289612146342</v>
      </c>
      <c r="F40" s="54"/>
      <c r="G40" s="68"/>
    </row>
    <row r="41" spans="1:7" ht="15" x14ac:dyDescent="0.3">
      <c r="A41" s="80">
        <v>2003</v>
      </c>
      <c r="B41" s="97">
        <f>+'Extreme data'!D50</f>
        <v>20.6</v>
      </c>
      <c r="C41" s="82">
        <f t="shared" si="0"/>
        <v>1.3138672203691535</v>
      </c>
      <c r="F41" s="54"/>
      <c r="G41" s="68"/>
    </row>
    <row r="42" spans="1:7" ht="15" x14ac:dyDescent="0.3">
      <c r="A42" s="80">
        <v>2004</v>
      </c>
      <c r="B42" s="97">
        <f>+'Extreme data'!D51</f>
        <v>57.1</v>
      </c>
      <c r="C42" s="82">
        <f t="shared" si="0"/>
        <v>1.7566361082458481</v>
      </c>
      <c r="F42" s="54"/>
      <c r="G42" s="68"/>
    </row>
    <row r="43" spans="1:7" ht="15" x14ac:dyDescent="0.3">
      <c r="A43" s="80">
        <v>2005</v>
      </c>
      <c r="B43" s="97">
        <f>+'Extreme data'!D52</f>
        <v>26.6</v>
      </c>
      <c r="C43" s="82">
        <f t="shared" si="0"/>
        <v>1.424881636631067</v>
      </c>
      <c r="F43" s="54"/>
      <c r="G43" s="68"/>
    </row>
    <row r="44" spans="1:7" ht="15" x14ac:dyDescent="0.3">
      <c r="A44" s="80">
        <v>2006</v>
      </c>
      <c r="B44" s="97">
        <f>+'Extreme data'!D53</f>
        <v>32</v>
      </c>
      <c r="C44" s="82">
        <f t="shared" si="0"/>
        <v>1.505149978319906</v>
      </c>
      <c r="F44" s="54"/>
      <c r="G44" s="68"/>
    </row>
    <row r="45" spans="1:7" ht="15" x14ac:dyDescent="0.3">
      <c r="A45" s="80">
        <v>2007</v>
      </c>
      <c r="B45" s="97">
        <f>+'Extreme data'!D54</f>
        <v>61.3</v>
      </c>
      <c r="C45" s="82">
        <f t="shared" si="0"/>
        <v>1.7874604745184151</v>
      </c>
      <c r="F45" s="54"/>
      <c r="G45" s="68"/>
    </row>
    <row r="46" spans="1:7" ht="15" x14ac:dyDescent="0.3">
      <c r="A46" s="80">
        <v>2008</v>
      </c>
      <c r="B46" s="97">
        <f>+'Extreme data'!D55</f>
        <v>48.8</v>
      </c>
      <c r="C46" s="82">
        <f t="shared" si="0"/>
        <v>1.6884198220027107</v>
      </c>
      <c r="F46" s="54"/>
      <c r="G46" s="68"/>
    </row>
    <row r="47" spans="1:7" ht="15" x14ac:dyDescent="0.3">
      <c r="A47" s="80">
        <v>2009</v>
      </c>
      <c r="B47" s="97">
        <f>+'Extreme data'!D56</f>
        <v>56.4</v>
      </c>
      <c r="C47" s="82">
        <f t="shared" si="0"/>
        <v>1.7512791039833422</v>
      </c>
      <c r="F47" s="54"/>
      <c r="G47" s="68"/>
    </row>
    <row r="48" spans="1:7" ht="15" x14ac:dyDescent="0.3">
      <c r="A48" s="80">
        <v>2010</v>
      </c>
      <c r="B48" s="97">
        <f>+'Extreme data'!D57</f>
        <v>20</v>
      </c>
      <c r="C48" s="82">
        <f t="shared" si="0"/>
        <v>1.3010299956639813</v>
      </c>
      <c r="F48" s="54"/>
      <c r="G48" s="68"/>
    </row>
    <row r="49" spans="1:12" ht="15" x14ac:dyDescent="0.3">
      <c r="A49" s="80">
        <v>2011</v>
      </c>
      <c r="B49" s="97">
        <f>+'Extreme data'!D58</f>
        <v>61.4</v>
      </c>
      <c r="C49" s="82">
        <f t="shared" si="0"/>
        <v>1.7881683711411678</v>
      </c>
      <c r="F49" s="54"/>
      <c r="G49" s="68"/>
    </row>
    <row r="50" spans="1:12" ht="15" x14ac:dyDescent="0.3">
      <c r="A50" s="80">
        <v>2012</v>
      </c>
      <c r="B50" s="97">
        <f>+'Extreme data'!D59</f>
        <v>59</v>
      </c>
      <c r="C50" s="82">
        <f t="shared" si="0"/>
        <v>1.7708520116421442</v>
      </c>
      <c r="F50" s="54"/>
      <c r="G50" s="68"/>
    </row>
    <row r="51" spans="1:12" ht="15" x14ac:dyDescent="0.3">
      <c r="A51" s="80">
        <v>2013</v>
      </c>
      <c r="B51" s="97">
        <f>+'Extreme data'!D60</f>
        <v>32</v>
      </c>
      <c r="C51" s="82">
        <f t="shared" si="0"/>
        <v>1.505149978319906</v>
      </c>
      <c r="F51" s="54"/>
      <c r="G51" s="68"/>
    </row>
    <row r="52" spans="1:12" ht="15" x14ac:dyDescent="0.3">
      <c r="A52" s="80">
        <v>2014</v>
      </c>
      <c r="B52" s="97">
        <f>+'Extreme data'!D61</f>
        <v>18.399999999999999</v>
      </c>
      <c r="C52" s="82">
        <f t="shared" si="0"/>
        <v>1.2648178230095364</v>
      </c>
      <c r="F52" s="54"/>
      <c r="G52" s="68"/>
    </row>
    <row r="53" spans="1:12" ht="15" x14ac:dyDescent="0.3">
      <c r="A53" s="80">
        <v>2015</v>
      </c>
      <c r="B53" s="97">
        <f>+'Extreme data'!D62</f>
        <v>56</v>
      </c>
      <c r="C53" s="82">
        <f t="shared" si="0"/>
        <v>1.7481880270062005</v>
      </c>
      <c r="F53" s="54"/>
      <c r="G53" s="68"/>
    </row>
    <row r="54" spans="1:12" ht="15" x14ac:dyDescent="0.3">
      <c r="A54" s="96"/>
      <c r="B54" s="96"/>
      <c r="C54" s="96"/>
      <c r="F54" s="54"/>
      <c r="G54" s="68"/>
    </row>
    <row r="55" spans="1:12" x14ac:dyDescent="0.3">
      <c r="A55" s="69"/>
      <c r="B55" s="70"/>
      <c r="C55" s="70"/>
      <c r="G55" s="71"/>
    </row>
    <row r="56" spans="1:12" x14ac:dyDescent="0.3">
      <c r="A56" s="69"/>
      <c r="B56" s="70"/>
      <c r="C56" s="70"/>
      <c r="G56" s="71"/>
    </row>
    <row r="57" spans="1:12" x14ac:dyDescent="0.3">
      <c r="A57" s="69"/>
      <c r="B57" s="70"/>
      <c r="C57" s="70"/>
      <c r="G57" s="71"/>
    </row>
    <row r="58" spans="1:12" x14ac:dyDescent="0.3">
      <c r="A58" s="69"/>
      <c r="B58" s="70"/>
      <c r="C58" s="70"/>
      <c r="G58" s="71"/>
    </row>
    <row r="59" spans="1:12" x14ac:dyDescent="0.3">
      <c r="A59" s="69"/>
      <c r="B59" s="70"/>
      <c r="C59" s="70"/>
      <c r="G59" s="71"/>
    </row>
    <row r="60" spans="1:12" x14ac:dyDescent="0.3">
      <c r="A60" s="69"/>
      <c r="B60" s="70"/>
      <c r="C60" s="70"/>
      <c r="G60" s="71"/>
    </row>
    <row r="61" spans="1:12" x14ac:dyDescent="0.3">
      <c r="B61" s="70"/>
      <c r="C61" s="70"/>
    </row>
    <row r="62" spans="1:12" ht="15" x14ac:dyDescent="0.3">
      <c r="A62" s="363" t="s">
        <v>19</v>
      </c>
      <c r="B62" s="363"/>
      <c r="C62" s="363"/>
      <c r="D62" s="28"/>
      <c r="E62" s="28"/>
      <c r="F62" s="28"/>
      <c r="G62" s="35"/>
      <c r="H62" s="28"/>
      <c r="I62" s="28"/>
      <c r="J62" s="28"/>
      <c r="K62" s="28"/>
      <c r="L62" s="28"/>
    </row>
    <row r="63" spans="1:12" ht="16.5" x14ac:dyDescent="0.35">
      <c r="A63" s="36" t="s">
        <v>20</v>
      </c>
      <c r="B63" s="37">
        <f>AVERAGE($B$12:$B$53)</f>
        <v>41.993749999999999</v>
      </c>
      <c r="C63" s="37">
        <f>AVERAGE($C$12:$C$53)</f>
        <v>1.5888093100551661</v>
      </c>
      <c r="D63" s="36" t="s">
        <v>52</v>
      </c>
      <c r="E63" s="28"/>
      <c r="F63" s="28"/>
      <c r="G63" s="38"/>
      <c r="H63" s="28"/>
      <c r="I63" s="39"/>
      <c r="J63" s="39"/>
      <c r="K63" s="28"/>
      <c r="L63" s="28"/>
    </row>
    <row r="64" spans="1:12" ht="15" x14ac:dyDescent="0.3">
      <c r="A64" s="36" t="s">
        <v>21</v>
      </c>
      <c r="B64" s="37">
        <f>STDEV($B$12:$B$53)</f>
        <v>15.867008487214385</v>
      </c>
      <c r="C64" s="37">
        <f>STDEV($C$12:$C$53)</f>
        <v>0.18638961426277575</v>
      </c>
      <c r="D64" s="36" t="s">
        <v>22</v>
      </c>
      <c r="E64" s="28"/>
      <c r="F64" s="28"/>
      <c r="G64" s="28"/>
      <c r="H64" s="28"/>
      <c r="I64" s="39"/>
      <c r="J64" s="39"/>
      <c r="K64" s="28"/>
      <c r="L64" s="28"/>
    </row>
    <row r="65" spans="1:12" ht="16.5" x14ac:dyDescent="0.35">
      <c r="A65" s="36" t="s">
        <v>23</v>
      </c>
      <c r="B65" s="37">
        <f>SKEW($B$12:$B$53)</f>
        <v>-0.20347014201840083</v>
      </c>
      <c r="C65" s="37">
        <f>SKEW($C$12:$C$53)</f>
        <v>-0.56121175151077041</v>
      </c>
      <c r="D65" s="36" t="s">
        <v>53</v>
      </c>
      <c r="E65" s="28"/>
      <c r="F65" s="28"/>
      <c r="G65" s="28"/>
      <c r="H65" s="28"/>
      <c r="I65" s="39"/>
      <c r="J65" s="39"/>
      <c r="K65" s="28"/>
      <c r="L65" s="28"/>
    </row>
    <row r="66" spans="1:12" ht="15" x14ac:dyDescent="0.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1:12" ht="13.5" customHeight="1" x14ac:dyDescent="0.3">
      <c r="A67" s="363" t="s">
        <v>24</v>
      </c>
      <c r="B67" s="363"/>
      <c r="C67" s="363"/>
      <c r="D67" s="363"/>
      <c r="E67" s="363"/>
      <c r="F67" s="363"/>
      <c r="G67" s="363"/>
      <c r="H67" s="363"/>
      <c r="I67" s="363"/>
      <c r="J67" s="363"/>
      <c r="K67" s="363"/>
    </row>
    <row r="68" spans="1:12" ht="13.5" customHeight="1" x14ac:dyDescent="0.3">
      <c r="A68" s="28"/>
      <c r="D68" s="376" t="s">
        <v>79</v>
      </c>
      <c r="E68" s="377"/>
      <c r="F68" s="377"/>
      <c r="G68" s="377"/>
      <c r="H68" s="377"/>
      <c r="I68" s="377"/>
      <c r="J68" s="377"/>
      <c r="K68" s="378"/>
      <c r="L68" s="83"/>
    </row>
    <row r="69" spans="1:12" ht="15" x14ac:dyDescent="0.3">
      <c r="A69" s="366" t="s">
        <v>25</v>
      </c>
      <c r="B69" s="367" t="s">
        <v>26</v>
      </c>
      <c r="C69" s="367"/>
      <c r="D69" s="372" t="s">
        <v>8</v>
      </c>
      <c r="E69" s="372"/>
      <c r="F69" s="372"/>
      <c r="G69" s="372" t="s">
        <v>27</v>
      </c>
      <c r="H69" s="372"/>
      <c r="I69" s="372"/>
      <c r="J69" s="372" t="s">
        <v>7</v>
      </c>
      <c r="K69" s="372"/>
      <c r="L69" s="83"/>
    </row>
    <row r="70" spans="1:12" ht="16.5" x14ac:dyDescent="0.35">
      <c r="A70" s="366"/>
      <c r="B70" s="41" t="s">
        <v>28</v>
      </c>
      <c r="C70" s="41" t="s">
        <v>29</v>
      </c>
      <c r="D70" s="41" t="s">
        <v>30</v>
      </c>
      <c r="E70" s="41" t="s">
        <v>54</v>
      </c>
      <c r="F70" s="41" t="s">
        <v>31</v>
      </c>
      <c r="G70" s="41" t="s">
        <v>55</v>
      </c>
      <c r="H70" s="41" t="s">
        <v>54</v>
      </c>
      <c r="I70" s="41" t="s">
        <v>31</v>
      </c>
      <c r="J70" s="41" t="s">
        <v>32</v>
      </c>
      <c r="K70" s="41" t="s">
        <v>33</v>
      </c>
      <c r="L70" s="84"/>
    </row>
    <row r="71" spans="1:12" ht="15" x14ac:dyDescent="0.3">
      <c r="A71" s="62">
        <v>1</v>
      </c>
      <c r="B71" s="42">
        <f>1/A71</f>
        <v>1</v>
      </c>
      <c r="C71" s="42">
        <f>SQRT(LN(1/B71^2))</f>
        <v>0</v>
      </c>
      <c r="D71" s="42">
        <f t="shared" ref="D71:D83" si="1">C71-((2.51557+0.80285*C71+0.010328*C71^2)/(1+1.432788*C71+0.189269*C71^2+0.001308*C71^3))</f>
        <v>-2.5155699999999999</v>
      </c>
      <c r="E71" s="42">
        <f>$C$63+D71*$C$64</f>
        <v>1.1199331881041554</v>
      </c>
      <c r="F71" s="43">
        <f>(10)^E71</f>
        <v>13.180539534389816</v>
      </c>
      <c r="G71" s="42">
        <f>D71+(D71^2-1)*($C$65/6)+((D71^3-6*D71)*($C$65/6)^2)/3-(D71^2-1)*($C$65/6)^3+D71*($C$65/6)^4+1/3*($C$65/6)^5</f>
        <v>-3.0121764202410968</v>
      </c>
      <c r="H71" s="42">
        <f>$C$63+G71*$C$64</f>
        <v>1.0273709089949994</v>
      </c>
      <c r="I71" s="43">
        <f>(10)^H71</f>
        <v>10.650522372649394</v>
      </c>
      <c r="J71" s="44"/>
      <c r="K71" s="43"/>
      <c r="L71" s="84"/>
    </row>
    <row r="72" spans="1:12" ht="15" x14ac:dyDescent="0.3">
      <c r="A72" s="41">
        <v>2</v>
      </c>
      <c r="B72" s="42">
        <f>1/A72</f>
        <v>0.5</v>
      </c>
      <c r="C72" s="42">
        <f>SQRT(LN(1/B72^2))</f>
        <v>1.1774100225154747</v>
      </c>
      <c r="D72" s="42">
        <f t="shared" si="1"/>
        <v>-1.6861240179411041E-5</v>
      </c>
      <c r="E72" s="42">
        <f>$C$63+D72*$C$64</f>
        <v>1.588806167295113</v>
      </c>
      <c r="F72" s="43">
        <f>(10)^E72</f>
        <v>38.797716681037848</v>
      </c>
      <c r="G72" s="42">
        <f>D72+(D72^2-1)*($C$65/6)+((D72^3-6*D72)*($C$65/6)^2)/3-(D72^2-1)*($C$65/6)^3+D72*($C$65/6)^4+1/3*($C$65/6)^5</f>
        <v>9.2698011605912539E-2</v>
      </c>
      <c r="H72" s="42">
        <f>$C$63+G72*$C$64</f>
        <v>1.6060872566813185</v>
      </c>
      <c r="I72" s="43">
        <f>(10)^H72</f>
        <v>40.372649990616935</v>
      </c>
      <c r="J72" s="44">
        <f t="shared" ref="J72:J83" si="2">-LN(LN(A72/(A72-1)))</f>
        <v>0.36651292058166435</v>
      </c>
      <c r="K72" s="43">
        <f t="shared" ref="K72:K83" si="3">B$63-(0.577*SQRT(6)*B$64/PI())+(SQRT(6)*B$64/PI())*J72</f>
        <v>39.389718408371159</v>
      </c>
      <c r="L72" s="85"/>
    </row>
    <row r="73" spans="1:12" ht="15" x14ac:dyDescent="0.3">
      <c r="A73" s="41">
        <v>2.33</v>
      </c>
      <c r="B73" s="42">
        <f>1/A73</f>
        <v>0.42918454935622319</v>
      </c>
      <c r="C73" s="42">
        <f>SQRT(LN(1/B73^2))</f>
        <v>1.3006677266524369</v>
      </c>
      <c r="D73" s="42">
        <f t="shared" si="1"/>
        <v>0.17808428211113303</v>
      </c>
      <c r="E73" s="42">
        <f>$C$63+D73*$C$64</f>
        <v>1.6220023707041236</v>
      </c>
      <c r="F73" s="43">
        <f>(10)^E73</f>
        <v>41.879585121268356</v>
      </c>
      <c r="G73" s="42">
        <f>D73+(D73^2-1)*($C$65/6)+((D73^3-6*D73)*($C$65/6)^2)/3-(D73^2-1)*($C$65/6)^3+D73*($C$65/6)^4+1/3*($C$65/6)^5</f>
        <v>0.26477247017142402</v>
      </c>
      <c r="H73" s="42">
        <f>$C$63+G73*$C$64</f>
        <v>1.6381601486378201</v>
      </c>
      <c r="I73" s="43">
        <f>(10)^H73</f>
        <v>43.467048191179366</v>
      </c>
      <c r="J73" s="44">
        <f t="shared" si="2"/>
        <v>0.57858831412193601</v>
      </c>
      <c r="K73" s="43">
        <f t="shared" si="3"/>
        <v>42.013399757896693</v>
      </c>
      <c r="L73" s="85"/>
    </row>
    <row r="74" spans="1:12" ht="15" x14ac:dyDescent="0.3">
      <c r="A74" s="41">
        <v>5</v>
      </c>
      <c r="B74" s="42">
        <f>1/A74</f>
        <v>0.2</v>
      </c>
      <c r="C74" s="42">
        <f>SQRT(LN(1/B74^2))</f>
        <v>1.7941225779941015</v>
      </c>
      <c r="D74" s="42">
        <f t="shared" si="1"/>
        <v>0.84144534566621687</v>
      </c>
      <c r="E74" s="42">
        <f>$C$63+D74*$C$64</f>
        <v>1.7456459834571003</v>
      </c>
      <c r="F74" s="43">
        <f>(10)^E74</f>
        <v>55.673174224534073</v>
      </c>
      <c r="G74" s="42">
        <f t="shared" ref="G74:G82" si="4">D74+(D74^2-1)*($C$65/6)+((D74^3-6*D74)*($C$65/6)^2)/3-(D74^2-1)*($C$65/6)^3+D74*($C$65/6)^4+1/3*($C$65/6)^5</f>
        <v>0.85559198395620095</v>
      </c>
      <c r="H74" s="42">
        <f>$C$63+G74*$C$64</f>
        <v>1.7482827699110854</v>
      </c>
      <c r="I74" s="43">
        <f>(10)^H74</f>
        <v>56.01221793427024</v>
      </c>
      <c r="J74" s="44">
        <f t="shared" si="2"/>
        <v>1.4999399867595156</v>
      </c>
      <c r="K74" s="43">
        <f t="shared" si="3"/>
        <v>53.411861217756417</v>
      </c>
      <c r="L74" s="85"/>
    </row>
    <row r="75" spans="1:12" ht="15" x14ac:dyDescent="0.3">
      <c r="A75" s="41">
        <v>10</v>
      </c>
      <c r="B75" s="42">
        <f>1/A75</f>
        <v>0.1</v>
      </c>
      <c r="C75" s="42">
        <f>SQRT(LN(1/B75^2))</f>
        <v>2.1459660262893472</v>
      </c>
      <c r="D75" s="42">
        <f t="shared" si="1"/>
        <v>1.2817193675751226</v>
      </c>
      <c r="E75" s="42">
        <f>$C$63+D75*$C$64</f>
        <v>1.8277084885706221</v>
      </c>
      <c r="F75" s="43">
        <f>(10)^E75</f>
        <v>67.252508582039468</v>
      </c>
      <c r="G75" s="42">
        <f t="shared" si="4"/>
        <v>1.205929626430758</v>
      </c>
      <c r="H75" s="42">
        <f>$C$63+G75*$C$64</f>
        <v>1.8135820679536483</v>
      </c>
      <c r="I75" s="43">
        <f>(10)^H75</f>
        <v>65.10016179823478</v>
      </c>
      <c r="J75" s="44">
        <f t="shared" si="2"/>
        <v>2.2503673273124449</v>
      </c>
      <c r="K75" s="43">
        <f t="shared" si="3"/>
        <v>62.695739864474042</v>
      </c>
      <c r="L75" s="85"/>
    </row>
    <row r="76" spans="1:12" ht="15" x14ac:dyDescent="0.3">
      <c r="A76" s="41">
        <v>20</v>
      </c>
      <c r="B76" s="42">
        <f t="shared" ref="B76:B83" si="5">1/A76</f>
        <v>0.05</v>
      </c>
      <c r="C76" s="42">
        <f t="shared" ref="C76:C83" si="6">SQRT(LN(1/B76^2))</f>
        <v>2.4477468306808166</v>
      </c>
      <c r="D76" s="42">
        <f t="shared" si="1"/>
        <v>1.6452033739823797</v>
      </c>
      <c r="E76" s="42">
        <f t="shared" ref="E76:E83" si="7">$C$63+D76*$C$64</f>
        <v>1.895458132315559</v>
      </c>
      <c r="F76" s="43">
        <f t="shared" ref="F76:F83" si="8">(10)^E76</f>
        <v>78.606440781594543</v>
      </c>
      <c r="G76" s="42">
        <f t="shared" si="4"/>
        <v>1.4712865281603769</v>
      </c>
      <c r="H76" s="42">
        <f t="shared" ref="H76:H82" si="9">$C$63+G76*$C$64</f>
        <v>1.8630418385089973</v>
      </c>
      <c r="I76" s="43">
        <f t="shared" ref="I76:I82" si="10">(10)^H76</f>
        <v>72.952778718875834</v>
      </c>
      <c r="J76" s="44">
        <f t="shared" si="2"/>
        <v>2.9701952490421655</v>
      </c>
      <c r="K76" s="43">
        <f t="shared" si="3"/>
        <v>71.601059154858206</v>
      </c>
      <c r="L76" s="85"/>
    </row>
    <row r="77" spans="1:12" ht="15" x14ac:dyDescent="0.3">
      <c r="A77" s="41">
        <v>50</v>
      </c>
      <c r="B77" s="42">
        <f t="shared" si="5"/>
        <v>0.02</v>
      </c>
      <c r="C77" s="42">
        <f t="shared" si="6"/>
        <v>2.7971496225365371</v>
      </c>
      <c r="D77" s="42">
        <f t="shared" si="1"/>
        <v>2.0541817439773808</v>
      </c>
      <c r="E77" s="42">
        <f t="shared" si="7"/>
        <v>1.971687452940746</v>
      </c>
      <c r="F77" s="43">
        <f t="shared" si="8"/>
        <v>93.68875179721249</v>
      </c>
      <c r="G77" s="42">
        <f t="shared" si="4"/>
        <v>1.7451539922322752</v>
      </c>
      <c r="H77" s="42">
        <f t="shared" si="9"/>
        <v>1.914087889496483</v>
      </c>
      <c r="I77" s="43">
        <f t="shared" si="10"/>
        <v>82.051757816916975</v>
      </c>
      <c r="J77" s="44">
        <f t="shared" si="2"/>
        <v>3.9019386579358333</v>
      </c>
      <c r="K77" s="43">
        <f t="shared" si="3"/>
        <v>83.128081520107031</v>
      </c>
      <c r="L77" s="85"/>
    </row>
    <row r="78" spans="1:12" ht="15" x14ac:dyDescent="0.3">
      <c r="A78" s="45">
        <v>100</v>
      </c>
      <c r="B78" s="46">
        <f t="shared" si="5"/>
        <v>0.01</v>
      </c>
      <c r="C78" s="46">
        <f t="shared" si="6"/>
        <v>3.0348542587702929</v>
      </c>
      <c r="D78" s="46">
        <f t="shared" si="1"/>
        <v>2.3267791744716506</v>
      </c>
      <c r="E78" s="46">
        <f t="shared" si="7"/>
        <v>2.022496782859597</v>
      </c>
      <c r="F78" s="47">
        <f t="shared" si="8"/>
        <v>105.31658855222544</v>
      </c>
      <c r="G78" s="46">
        <f t="shared" si="4"/>
        <v>1.913734347094272</v>
      </c>
      <c r="H78" s="46">
        <f t="shared" si="9"/>
        <v>1.9455095168114924</v>
      </c>
      <c r="I78" s="47">
        <f>(10)^H78</f>
        <v>88.208313124918703</v>
      </c>
      <c r="J78" s="48">
        <f t="shared" si="2"/>
        <v>4.6001492267765736</v>
      </c>
      <c r="K78" s="47">
        <f t="shared" si="3"/>
        <v>91.765962685520023</v>
      </c>
      <c r="L78" s="85"/>
    </row>
    <row r="79" spans="1:12" ht="15" x14ac:dyDescent="0.3">
      <c r="A79" s="41">
        <v>200</v>
      </c>
      <c r="B79" s="42">
        <f t="shared" si="5"/>
        <v>5.0000000000000001E-3</v>
      </c>
      <c r="C79" s="42">
        <f t="shared" si="6"/>
        <v>3.2552472614374586</v>
      </c>
      <c r="D79" s="42">
        <f t="shared" si="1"/>
        <v>2.5762304772515181</v>
      </c>
      <c r="E79" s="42">
        <f t="shared" si="7"/>
        <v>2.0689919149620835</v>
      </c>
      <c r="F79" s="43">
        <f t="shared" si="8"/>
        <v>117.21735435905538</v>
      </c>
      <c r="G79" s="42">
        <f t="shared" si="4"/>
        <v>2.0585686517845487</v>
      </c>
      <c r="H79" s="42">
        <f t="shared" si="9"/>
        <v>1.9725051269947305</v>
      </c>
      <c r="I79" s="43">
        <f t="shared" si="10"/>
        <v>93.865311772746196</v>
      </c>
      <c r="J79" s="44">
        <f t="shared" si="2"/>
        <v>5.295812142535044</v>
      </c>
      <c r="K79" s="43">
        <f t="shared" si="3"/>
        <v>100.3723256735272</v>
      </c>
      <c r="L79" s="85"/>
    </row>
    <row r="80" spans="1:12" ht="15" x14ac:dyDescent="0.3">
      <c r="A80" s="41">
        <v>500</v>
      </c>
      <c r="B80" s="42">
        <f t="shared" si="5"/>
        <v>2E-3</v>
      </c>
      <c r="C80" s="42">
        <f t="shared" si="6"/>
        <v>3.5255093528232742</v>
      </c>
      <c r="D80" s="42">
        <f t="shared" si="1"/>
        <v>2.8785010937925581</v>
      </c>
      <c r="E80" s="42">
        <f t="shared" si="7"/>
        <v>2.1253320185821392</v>
      </c>
      <c r="F80" s="43">
        <f t="shared" si="8"/>
        <v>133.45413004777024</v>
      </c>
      <c r="G80" s="42">
        <f t="shared" si="4"/>
        <v>2.2223926254296638</v>
      </c>
      <c r="H80" s="42">
        <f t="shared" si="9"/>
        <v>2.0030402142494386</v>
      </c>
      <c r="I80" s="43">
        <f t="shared" si="10"/>
        <v>100.70249117498928</v>
      </c>
      <c r="J80" s="44">
        <f t="shared" si="2"/>
        <v>6.213607264087516</v>
      </c>
      <c r="K80" s="43">
        <f t="shared" si="3"/>
        <v>111.72678741896999</v>
      </c>
      <c r="L80" s="85"/>
    </row>
    <row r="81" spans="1:12" ht="15" x14ac:dyDescent="0.3">
      <c r="A81" s="41">
        <v>1000</v>
      </c>
      <c r="B81" s="42">
        <f t="shared" si="5"/>
        <v>1E-3</v>
      </c>
      <c r="C81" s="42">
        <f t="shared" si="6"/>
        <v>3.7169221888498383</v>
      </c>
      <c r="D81" s="42">
        <f t="shared" si="1"/>
        <v>3.090517579776618</v>
      </c>
      <c r="E81" s="42">
        <f t="shared" si="7"/>
        <v>2.1648496896220575</v>
      </c>
      <c r="F81" s="43">
        <f t="shared" si="8"/>
        <v>146.16711989401301</v>
      </c>
      <c r="G81" s="42">
        <f t="shared" si="4"/>
        <v>2.3299085002736191</v>
      </c>
      <c r="H81" s="42">
        <f t="shared" si="9"/>
        <v>2.0230800566887286</v>
      </c>
      <c r="I81" s="43">
        <f t="shared" si="10"/>
        <v>105.45812771802943</v>
      </c>
      <c r="J81" s="44">
        <f t="shared" si="2"/>
        <v>6.907255070523628</v>
      </c>
      <c r="K81" s="43">
        <f t="shared" si="3"/>
        <v>120.30822057113875</v>
      </c>
      <c r="L81" s="85"/>
    </row>
    <row r="82" spans="1:12" ht="15" x14ac:dyDescent="0.3">
      <c r="A82" s="41">
        <v>5000</v>
      </c>
      <c r="B82" s="42">
        <f t="shared" si="5"/>
        <v>2.0000000000000001E-4</v>
      </c>
      <c r="C82" s="42">
        <f t="shared" si="6"/>
        <v>4.1272734804992597</v>
      </c>
      <c r="D82" s="42">
        <f t="shared" si="1"/>
        <v>3.5402404913194201</v>
      </c>
      <c r="E82" s="42">
        <f t="shared" si="7"/>
        <v>2.2486733696296524</v>
      </c>
      <c r="F82" s="43">
        <f t="shared" si="8"/>
        <v>177.28556248889899</v>
      </c>
      <c r="G82" s="42">
        <f t="shared" si="4"/>
        <v>2.5386283238017224</v>
      </c>
      <c r="H82" s="42">
        <f t="shared" si="9"/>
        <v>2.0619832640851263</v>
      </c>
      <c r="I82" s="43">
        <f t="shared" si="10"/>
        <v>115.34088093549191</v>
      </c>
      <c r="J82" s="44">
        <f t="shared" si="2"/>
        <v>8.5170931830821246</v>
      </c>
      <c r="K82" s="43">
        <f t="shared" si="3"/>
        <v>140.22426156564978</v>
      </c>
      <c r="L82" s="85"/>
    </row>
    <row r="83" spans="1:12" ht="15" x14ac:dyDescent="0.3">
      <c r="A83" s="41">
        <v>10000</v>
      </c>
      <c r="B83" s="42">
        <f t="shared" si="5"/>
        <v>1E-4</v>
      </c>
      <c r="C83" s="42">
        <f t="shared" si="6"/>
        <v>4.2919320525786944</v>
      </c>
      <c r="D83" s="42">
        <f t="shared" si="1"/>
        <v>3.7191205599951926</v>
      </c>
      <c r="E83" s="42">
        <f t="shared" si="7"/>
        <v>2.2820147566294287</v>
      </c>
      <c r="F83" s="43">
        <f t="shared" si="8"/>
        <v>191.432096946998</v>
      </c>
      <c r="G83" s="42">
        <f>D83+(D83^2-1)*($C$65/6)+((D83^3-6*D83)*($C$65/6)^2)/3-(D83^2-1)*($C$65/6)^3+D83*($C$65/6)^4+1/3*($C$65/6)^5</f>
        <v>2.614616341249584</v>
      </c>
      <c r="H83" s="42">
        <f>$C$63+G83*$C$64</f>
        <v>2.0761466413458263</v>
      </c>
      <c r="I83" s="43">
        <f>(10)^H83</f>
        <v>119.16443037817025</v>
      </c>
      <c r="J83" s="44">
        <f t="shared" si="2"/>
        <v>9.2102903698935528</v>
      </c>
      <c r="K83" s="43">
        <f t="shared" si="3"/>
        <v>148.800119897066</v>
      </c>
      <c r="L83" s="85"/>
    </row>
    <row r="84" spans="1:12" x14ac:dyDescent="0.3">
      <c r="L84" s="72"/>
    </row>
    <row r="85" spans="1:12" x14ac:dyDescent="0.3">
      <c r="A85" s="364"/>
      <c r="B85" s="364"/>
      <c r="C85" s="364"/>
      <c r="D85" s="364"/>
      <c r="E85" s="364"/>
      <c r="F85" s="364"/>
      <c r="G85" s="364"/>
      <c r="H85" s="364"/>
      <c r="I85" s="364"/>
      <c r="J85" s="73"/>
      <c r="K85" s="73"/>
      <c r="L85" s="72"/>
    </row>
    <row r="86" spans="1:12" x14ac:dyDescent="0.3">
      <c r="L86" s="72"/>
    </row>
    <row r="87" spans="1:12" x14ac:dyDescent="0.3">
      <c r="L87" s="72"/>
    </row>
    <row r="89" spans="1:12" ht="13.5" hidden="1" customHeight="1" x14ac:dyDescent="0.3">
      <c r="A89" s="364" t="s">
        <v>34</v>
      </c>
      <c r="B89" s="364"/>
      <c r="C89" s="364"/>
      <c r="D89" s="364"/>
      <c r="E89" s="364"/>
      <c r="F89" s="364"/>
      <c r="G89" s="364"/>
      <c r="H89" s="364"/>
      <c r="I89" s="364"/>
      <c r="J89" s="73"/>
      <c r="K89" s="73"/>
    </row>
    <row r="90" spans="1:12" hidden="1" x14ac:dyDescent="0.3">
      <c r="A90" s="73"/>
      <c r="B90" s="73"/>
      <c r="C90" s="73"/>
      <c r="D90" s="73"/>
      <c r="E90" s="364" t="s">
        <v>8</v>
      </c>
      <c r="F90" s="364"/>
      <c r="G90" s="365" t="s">
        <v>27</v>
      </c>
      <c r="H90" s="365"/>
      <c r="I90" s="73"/>
      <c r="J90" s="73"/>
      <c r="K90" s="73"/>
    </row>
    <row r="91" spans="1:12" hidden="1" x14ac:dyDescent="0.3">
      <c r="D91" s="29" t="s">
        <v>22</v>
      </c>
      <c r="E91" s="74"/>
      <c r="F91" s="74"/>
      <c r="G91" s="74"/>
    </row>
    <row r="92" spans="1:12" hidden="1" x14ac:dyDescent="0.3">
      <c r="D92" s="29" t="s">
        <v>74</v>
      </c>
      <c r="E92" s="74" t="e">
        <f>#REF!-#REF!</f>
        <v>#REF!</v>
      </c>
      <c r="F92" s="74"/>
      <c r="G92" s="74" t="e">
        <f>#REF!-#REF!</f>
        <v>#REF!</v>
      </c>
    </row>
    <row r="93" spans="1:12" hidden="1" x14ac:dyDescent="0.3">
      <c r="D93" s="29" t="s">
        <v>75</v>
      </c>
      <c r="E93" s="74">
        <f>D78-D72</f>
        <v>2.3267960357118298</v>
      </c>
      <c r="F93" s="74"/>
      <c r="G93" s="74">
        <f>G78-G72</f>
        <v>1.8210363354883594</v>
      </c>
    </row>
    <row r="94" spans="1:12" hidden="1" x14ac:dyDescent="0.3">
      <c r="D94" s="29" t="s">
        <v>22</v>
      </c>
      <c r="E94" s="74" t="e">
        <f>E92/E93</f>
        <v>#REF!</v>
      </c>
      <c r="F94" s="74"/>
      <c r="G94" s="74" t="e">
        <f>G92/G93</f>
        <v>#REF!</v>
      </c>
    </row>
    <row r="95" spans="1:12" hidden="1" x14ac:dyDescent="0.3">
      <c r="D95" s="29" t="s">
        <v>76</v>
      </c>
      <c r="E95" s="74" t="e">
        <f>#REF!-D72*E94</f>
        <v>#REF!</v>
      </c>
      <c r="F95" s="74"/>
      <c r="G95" s="74" t="e">
        <f>#REF!-G72*G94</f>
        <v>#REF!</v>
      </c>
    </row>
    <row r="96" spans="1:12" hidden="1" x14ac:dyDescent="0.3">
      <c r="E96" s="74" t="e">
        <f>10^E95</f>
        <v>#REF!</v>
      </c>
      <c r="F96" s="74"/>
      <c r="G96" s="74" t="e">
        <f>10^G95</f>
        <v>#REF!</v>
      </c>
    </row>
    <row r="101" spans="7:7" x14ac:dyDescent="0.3">
      <c r="G101" s="75"/>
    </row>
  </sheetData>
  <mergeCells count="13">
    <mergeCell ref="E90:F90"/>
    <mergeCell ref="G90:H90"/>
    <mergeCell ref="A9:C9"/>
    <mergeCell ref="A62:C62"/>
    <mergeCell ref="A69:A70"/>
    <mergeCell ref="B69:C69"/>
    <mergeCell ref="D69:F69"/>
    <mergeCell ref="G69:I69"/>
    <mergeCell ref="J69:K69"/>
    <mergeCell ref="D68:K68"/>
    <mergeCell ref="A67:K67"/>
    <mergeCell ref="A85:I85"/>
    <mergeCell ref="A89:I8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I39"/>
  <sheetViews>
    <sheetView topLeftCell="A22" workbookViewId="0">
      <selection activeCell="E34" sqref="E34"/>
    </sheetView>
  </sheetViews>
  <sheetFormatPr defaultRowHeight="15" x14ac:dyDescent="0.3"/>
  <cols>
    <col min="1" max="1" width="12.28515625" style="49" bestFit="1" customWidth="1"/>
    <col min="2" max="2" width="9.140625" style="49"/>
    <col min="3" max="3" width="12" style="49" customWidth="1"/>
    <col min="4" max="6" width="9.140625" style="49"/>
    <col min="7" max="7" width="12.5703125" style="49" bestFit="1" customWidth="1"/>
    <col min="8" max="8" width="16.28515625" style="49" bestFit="1" customWidth="1"/>
    <col min="9" max="9" width="9" style="49" bestFit="1" customWidth="1"/>
    <col min="10" max="16384" width="9.140625" style="49"/>
  </cols>
  <sheetData>
    <row r="1" spans="1:9" x14ac:dyDescent="0.3">
      <c r="B1" s="76" t="s">
        <v>84</v>
      </c>
    </row>
    <row r="2" spans="1:9" x14ac:dyDescent="0.3">
      <c r="B2" s="388" t="s">
        <v>77</v>
      </c>
      <c r="C2" s="388"/>
    </row>
    <row r="3" spans="1:9" x14ac:dyDescent="0.3">
      <c r="A3" s="53" t="s">
        <v>25</v>
      </c>
      <c r="B3" s="53" t="s">
        <v>82</v>
      </c>
      <c r="C3" s="53" t="s">
        <v>83</v>
      </c>
      <c r="D3" s="53" t="s">
        <v>7</v>
      </c>
    </row>
    <row r="4" spans="1:9" x14ac:dyDescent="0.3">
      <c r="A4" s="53">
        <v>2</v>
      </c>
      <c r="B4" s="86">
        <v>1434.2266831027389</v>
      </c>
      <c r="C4" s="86">
        <v>1366.6299986317892</v>
      </c>
      <c r="D4" s="86">
        <v>1434.9828743732214</v>
      </c>
    </row>
    <row r="5" spans="1:9" x14ac:dyDescent="0.3">
      <c r="A5" s="53">
        <v>2.33</v>
      </c>
      <c r="B5" s="86">
        <v>1522.8740612151203</v>
      </c>
      <c r="C5" s="86">
        <v>1449.6449567064071</v>
      </c>
      <c r="D5" s="86">
        <v>1546.723237941558</v>
      </c>
      <c r="G5" s="76" t="s">
        <v>85</v>
      </c>
    </row>
    <row r="6" spans="1:9" x14ac:dyDescent="0.3">
      <c r="A6" s="53">
        <v>5</v>
      </c>
      <c r="B6" s="86">
        <v>1904.0422696028465</v>
      </c>
      <c r="C6" s="86">
        <v>1857.6041238290452</v>
      </c>
      <c r="D6" s="86">
        <v>2032.1740446390752</v>
      </c>
    </row>
    <row r="7" spans="1:9" ht="17.25" x14ac:dyDescent="0.35">
      <c r="A7" s="53">
        <v>10</v>
      </c>
      <c r="B7" s="86">
        <v>2208.3308061784119</v>
      </c>
      <c r="C7" s="86">
        <v>2247.9578726098175</v>
      </c>
      <c r="D7" s="86">
        <v>2427.5665626733808</v>
      </c>
      <c r="G7" s="87" t="s">
        <v>8</v>
      </c>
      <c r="H7" s="87" t="s">
        <v>9</v>
      </c>
      <c r="I7" s="87" t="s">
        <v>7</v>
      </c>
    </row>
    <row r="8" spans="1:9" x14ac:dyDescent="0.3">
      <c r="A8" s="53">
        <v>20</v>
      </c>
      <c r="B8" s="86">
        <v>2495.868053159973</v>
      </c>
      <c r="C8" s="86">
        <v>2675.8053532241988</v>
      </c>
      <c r="D8" s="86">
        <v>2806.8365587724115</v>
      </c>
      <c r="F8" s="49">
        <v>1</v>
      </c>
      <c r="G8" s="78">
        <v>647.21373923013618</v>
      </c>
      <c r="H8" s="78">
        <v>717.01862318522467</v>
      </c>
      <c r="I8" s="78" t="s">
        <v>73</v>
      </c>
    </row>
    <row r="9" spans="1:9" x14ac:dyDescent="0.3">
      <c r="A9" s="53">
        <v>25</v>
      </c>
      <c r="B9" s="86">
        <v>2586.4486008231947</v>
      </c>
      <c r="C9" s="86">
        <v>2823.4348282313458</v>
      </c>
      <c r="D9" s="86">
        <v>2927.146057374971</v>
      </c>
      <c r="F9" s="49">
        <v>2</v>
      </c>
      <c r="G9" s="78">
        <v>1398.5749190224667</v>
      </c>
      <c r="H9" s="78">
        <v>1371.8563354376593</v>
      </c>
      <c r="I9" s="78">
        <v>1387.3457707309356</v>
      </c>
    </row>
    <row r="10" spans="1:9" x14ac:dyDescent="0.3">
      <c r="A10" s="53">
        <v>50</v>
      </c>
      <c r="B10" s="86">
        <v>2864.3919592062239</v>
      </c>
      <c r="C10" s="86">
        <v>3317.9020847970951</v>
      </c>
      <c r="D10" s="86">
        <v>3297.7626653997195</v>
      </c>
      <c r="F10" s="49">
        <v>5</v>
      </c>
      <c r="G10" s="78">
        <v>1809.7702184647806</v>
      </c>
      <c r="H10" s="78">
        <v>1796.3463311064713</v>
      </c>
      <c r="I10" s="78">
        <v>1803.3897890136582</v>
      </c>
    </row>
    <row r="11" spans="1:9" x14ac:dyDescent="0.3">
      <c r="A11" s="53">
        <v>80</v>
      </c>
      <c r="B11" s="86">
        <v>3051.2389512806303</v>
      </c>
      <c r="C11" s="86">
        <v>3687.8038729365103</v>
      </c>
      <c r="D11" s="86">
        <v>3547.4057852703118</v>
      </c>
      <c r="F11" s="49">
        <v>10</v>
      </c>
      <c r="G11" s="78">
        <v>2071.0569227301489</v>
      </c>
      <c r="H11" s="78">
        <v>2092.1351765042759</v>
      </c>
      <c r="I11" s="78">
        <v>2078.8471303013484</v>
      </c>
    </row>
    <row r="12" spans="1:9" x14ac:dyDescent="0.3">
      <c r="A12" s="89">
        <v>100</v>
      </c>
      <c r="B12" s="90">
        <v>3139.7735745084547</v>
      </c>
      <c r="C12" s="90">
        <v>3874.2882030492242</v>
      </c>
      <c r="D12" s="90">
        <v>3665.6426985668131</v>
      </c>
      <c r="F12" s="49">
        <v>20</v>
      </c>
      <c r="G12" s="78">
        <v>2314.9703990481007</v>
      </c>
      <c r="H12" s="78">
        <v>2387.1835953377304</v>
      </c>
      <c r="I12" s="78">
        <v>2343.0724253954941</v>
      </c>
    </row>
    <row r="13" spans="1:9" x14ac:dyDescent="0.3">
      <c r="A13" s="53">
        <v>200</v>
      </c>
      <c r="B13" s="86">
        <v>3414.9097451241173</v>
      </c>
      <c r="C13" s="86">
        <v>4502.8004833789828</v>
      </c>
      <c r="D13" s="86">
        <v>4032.1803992883238</v>
      </c>
      <c r="F13" s="49">
        <v>50</v>
      </c>
      <c r="G13" s="78">
        <v>2623.9216019556843</v>
      </c>
      <c r="H13" s="78">
        <v>2787.909352435865</v>
      </c>
      <c r="I13" s="78">
        <v>2685.084967192106</v>
      </c>
    </row>
    <row r="14" spans="1:9" x14ac:dyDescent="0.3">
      <c r="A14" s="53">
        <v>300</v>
      </c>
      <c r="B14" s="86">
        <v>3576.3794880022442</v>
      </c>
      <c r="C14" s="86">
        <v>4908.2619424294508</v>
      </c>
      <c r="D14" s="86">
        <v>4246.2564378252537</v>
      </c>
      <c r="F14" s="49">
        <v>100</v>
      </c>
      <c r="G14" s="78">
        <v>2852.4223986698498</v>
      </c>
      <c r="H14" s="78">
        <v>3104.2241714454408</v>
      </c>
      <c r="I14" s="78">
        <v>2941.3752388260336</v>
      </c>
    </row>
    <row r="15" spans="1:9" x14ac:dyDescent="0.3">
      <c r="A15" s="53">
        <v>500</v>
      </c>
      <c r="B15" s="86">
        <v>3780.8084907499056</v>
      </c>
      <c r="C15" s="86">
        <v>5463.2853672689998</v>
      </c>
      <c r="D15" s="86">
        <v>4515.7572954643747</v>
      </c>
      <c r="F15" s="49">
        <v>200</v>
      </c>
      <c r="G15" s="78">
        <v>3078.9153392551361</v>
      </c>
      <c r="H15" s="78">
        <v>3434.9144069989507</v>
      </c>
      <c r="I15" s="78">
        <v>3196.7303503096814</v>
      </c>
    </row>
    <row r="16" spans="1:9" x14ac:dyDescent="0.3">
      <c r="A16" s="53">
        <v>1000</v>
      </c>
      <c r="B16" s="86">
        <v>4060.6069664742054</v>
      </c>
      <c r="C16" s="86">
        <v>6303.971157818738</v>
      </c>
      <c r="D16" s="86">
        <v>4881.2332556201764</v>
      </c>
      <c r="F16" s="49">
        <v>500</v>
      </c>
      <c r="G16" s="78">
        <v>3377.5989680933617</v>
      </c>
      <c r="H16" s="78">
        <v>3897.7558297357687</v>
      </c>
      <c r="I16" s="78">
        <v>3533.62293186645</v>
      </c>
    </row>
    <row r="17" spans="1:9" x14ac:dyDescent="0.3">
      <c r="A17" s="53">
        <v>2000</v>
      </c>
      <c r="B17" s="86">
        <v>4343.849604024329</v>
      </c>
      <c r="C17" s="86">
        <v>7258.5963917580357</v>
      </c>
      <c r="D17" s="86">
        <v>5246.5772459401596</v>
      </c>
      <c r="F17" s="49">
        <v>1000</v>
      </c>
      <c r="G17" s="78">
        <v>3604.2269399134652</v>
      </c>
      <c r="H17" s="78">
        <v>4269.7247105286524</v>
      </c>
      <c r="I17" s="78">
        <v>3788.2383626024161</v>
      </c>
    </row>
    <row r="18" spans="1:9" x14ac:dyDescent="0.3">
      <c r="A18" s="53">
        <v>3000</v>
      </c>
      <c r="B18" s="86">
        <v>4511.3738745129549</v>
      </c>
      <c r="C18" s="86">
        <v>7876.1871951718867</v>
      </c>
      <c r="D18" s="86">
        <v>5460.2566019902106</v>
      </c>
    </row>
    <row r="19" spans="1:9" x14ac:dyDescent="0.3">
      <c r="A19" s="53">
        <v>4000</v>
      </c>
      <c r="B19" s="86">
        <v>4631.1278697670386</v>
      </c>
      <c r="C19" s="86">
        <v>8343.2761715579491</v>
      </c>
      <c r="D19" s="86">
        <v>5611.8553132386287</v>
      </c>
    </row>
    <row r="20" spans="1:9" x14ac:dyDescent="0.3">
      <c r="A20" s="53">
        <v>5000</v>
      </c>
      <c r="B20" s="86">
        <v>4724.5509639179299</v>
      </c>
      <c r="C20" s="86">
        <v>8723.0800125016594</v>
      </c>
      <c r="D20" s="86">
        <v>5729.4405510567994</v>
      </c>
    </row>
    <row r="21" spans="1:9" x14ac:dyDescent="0.3">
      <c r="A21" s="53">
        <v>10000</v>
      </c>
      <c r="B21" s="86">
        <v>5017.8861239941116</v>
      </c>
      <c r="C21" s="86">
        <v>10008.104144206007</v>
      </c>
      <c r="D21" s="86">
        <v>6094.6790843246799</v>
      </c>
    </row>
    <row r="22" spans="1:9" ht="17.25" x14ac:dyDescent="0.35">
      <c r="G22" s="87" t="s">
        <v>8</v>
      </c>
      <c r="H22" s="87" t="s">
        <v>9</v>
      </c>
      <c r="I22" s="87" t="s">
        <v>7</v>
      </c>
    </row>
    <row r="23" spans="1:9" x14ac:dyDescent="0.3">
      <c r="C23" s="76" t="s">
        <v>80</v>
      </c>
      <c r="F23" s="49">
        <v>1</v>
      </c>
      <c r="G23" s="78">
        <v>395.99268333503755</v>
      </c>
      <c r="H23" s="78">
        <v>307.95582154632643</v>
      </c>
      <c r="I23" s="78" t="s">
        <v>73</v>
      </c>
    </row>
    <row r="24" spans="1:9" x14ac:dyDescent="0.3">
      <c r="A24" s="53" t="s">
        <v>25</v>
      </c>
      <c r="B24" s="53" t="s">
        <v>82</v>
      </c>
      <c r="C24" s="53" t="s">
        <v>83</v>
      </c>
      <c r="D24" s="53" t="s">
        <v>7</v>
      </c>
      <c r="F24" s="49">
        <v>2</v>
      </c>
      <c r="G24" s="78">
        <v>641.13794293016474</v>
      </c>
      <c r="H24" s="78">
        <v>671.3505711962099</v>
      </c>
      <c r="I24" s="78">
        <v>632.71285396216194</v>
      </c>
    </row>
    <row r="25" spans="1:9" x14ac:dyDescent="0.3">
      <c r="A25" s="53">
        <v>2</v>
      </c>
      <c r="B25" s="86">
        <v>617.59378998783097</v>
      </c>
      <c r="C25" s="86">
        <v>647.7062827011946</v>
      </c>
      <c r="D25" s="86">
        <v>613.81127495155647</v>
      </c>
      <c r="F25" s="49">
        <v>5</v>
      </c>
      <c r="G25" s="78">
        <v>753.27091541716595</v>
      </c>
      <c r="H25" s="78">
        <v>749.65701972314685</v>
      </c>
      <c r="I25" s="78">
        <v>731.18515135785276</v>
      </c>
    </row>
    <row r="26" spans="1:9" x14ac:dyDescent="0.3">
      <c r="A26" s="53">
        <v>2.33</v>
      </c>
      <c r="B26" s="86">
        <v>641.17192975770649</v>
      </c>
      <c r="C26" s="86">
        <v>668.61415949646812</v>
      </c>
      <c r="D26" s="86">
        <v>638.0515617233001</v>
      </c>
      <c r="F26" s="49">
        <v>10</v>
      </c>
      <c r="G26" s="78">
        <v>819.55253716182199</v>
      </c>
      <c r="H26" s="78">
        <v>777.74897602753185</v>
      </c>
      <c r="I26" s="78">
        <v>796.3823805911187</v>
      </c>
    </row>
    <row r="27" spans="1:9" x14ac:dyDescent="0.3">
      <c r="A27" s="53">
        <v>5</v>
      </c>
      <c r="B27" s="86">
        <v>737.19133811523056</v>
      </c>
      <c r="C27" s="86">
        <v>734.53762462464795</v>
      </c>
      <c r="D27" s="86">
        <v>743.36235893334776</v>
      </c>
      <c r="F27" s="49">
        <v>20</v>
      </c>
      <c r="G27" s="78">
        <v>878.64689060892488</v>
      </c>
      <c r="H27" s="78">
        <v>794.71072065785006</v>
      </c>
      <c r="I27" s="78">
        <v>858.9211281625204</v>
      </c>
    </row>
    <row r="28" spans="1:9" x14ac:dyDescent="0.3">
      <c r="A28" s="53">
        <v>10</v>
      </c>
      <c r="B28" s="86">
        <v>808.73161379376154</v>
      </c>
      <c r="C28" s="86">
        <v>767.41444023490681</v>
      </c>
      <c r="D28" s="86">
        <v>829.13644914106294</v>
      </c>
      <c r="F28" s="49">
        <v>50</v>
      </c>
      <c r="G28" s="78">
        <v>950.2470886449097</v>
      </c>
      <c r="H28" s="78">
        <v>807.8426334256535</v>
      </c>
      <c r="I28" s="78">
        <v>939.87112203063487</v>
      </c>
    </row>
    <row r="29" spans="1:9" x14ac:dyDescent="0.3">
      <c r="A29" s="53">
        <v>20</v>
      </c>
      <c r="B29" s="86">
        <v>872.99745133002671</v>
      </c>
      <c r="C29" s="86">
        <v>788.17139528475457</v>
      </c>
      <c r="D29" s="86">
        <v>911.41301577972513</v>
      </c>
      <c r="F29" s="49">
        <v>100</v>
      </c>
      <c r="G29" s="78">
        <v>1001.1829271431726</v>
      </c>
      <c r="H29" s="78">
        <v>813.60775562621791</v>
      </c>
      <c r="I29" s="78">
        <v>1000.5317510480394</v>
      </c>
    </row>
    <row r="30" spans="1:9" x14ac:dyDescent="0.3">
      <c r="A30" s="53">
        <v>25</v>
      </c>
      <c r="B30" s="86">
        <v>892.65786714184594</v>
      </c>
      <c r="C30" s="86">
        <v>793.19015131075219</v>
      </c>
      <c r="D30" s="86">
        <v>937.51223950121584</v>
      </c>
      <c r="F30" s="49">
        <v>200</v>
      </c>
      <c r="G30" s="78">
        <v>1050.1826474737211</v>
      </c>
      <c r="H30" s="78">
        <v>817.15458848565561</v>
      </c>
      <c r="I30" s="78">
        <v>1060.9710396197597</v>
      </c>
    </row>
    <row r="31" spans="1:9" x14ac:dyDescent="0.3">
      <c r="A31" s="53">
        <v>50</v>
      </c>
      <c r="B31" s="86">
        <v>951.4325433105721</v>
      </c>
      <c r="C31" s="86">
        <v>805.18184446099508</v>
      </c>
      <c r="D31" s="86">
        <v>1017.9115918390719</v>
      </c>
      <c r="F31" s="49">
        <v>500</v>
      </c>
      <c r="G31" s="78">
        <v>1112.7822359935144</v>
      </c>
      <c r="H31" s="78">
        <v>819.68525781658207</v>
      </c>
      <c r="I31" s="78">
        <v>1140.7092043899027</v>
      </c>
    </row>
    <row r="32" spans="1:9" x14ac:dyDescent="0.3">
      <c r="A32" s="53">
        <v>80</v>
      </c>
      <c r="B32" s="86">
        <v>989.74355074272466</v>
      </c>
      <c r="C32" s="86">
        <v>810.96637196913991</v>
      </c>
      <c r="D32" s="86">
        <v>1072.0676785297605</v>
      </c>
      <c r="F32" s="49">
        <v>1000</v>
      </c>
      <c r="G32" s="78">
        <v>1158.9039745349387</v>
      </c>
      <c r="H32" s="78">
        <v>820.58580163523243</v>
      </c>
      <c r="I32" s="78">
        <v>1200.9734199901038</v>
      </c>
    </row>
    <row r="33" spans="1:4" x14ac:dyDescent="0.3">
      <c r="A33" s="89">
        <v>100</v>
      </c>
      <c r="B33" s="90">
        <v>1007.5880844040748</v>
      </c>
      <c r="C33" s="90">
        <v>813.20643920533439</v>
      </c>
      <c r="D33" s="90">
        <v>1097.7172879796187</v>
      </c>
    </row>
    <row r="34" spans="1:4" x14ac:dyDescent="0.3">
      <c r="A34" s="53">
        <v>200</v>
      </c>
      <c r="B34" s="86">
        <v>1061.8749505489766</v>
      </c>
      <c r="C34" s="86">
        <v>818.54371901117372</v>
      </c>
      <c r="D34" s="86">
        <v>1177.231786540483</v>
      </c>
    </row>
    <row r="35" spans="1:4" x14ac:dyDescent="0.3">
      <c r="A35" s="53">
        <v>300</v>
      </c>
      <c r="B35" s="86">
        <v>1092.9693650471365</v>
      </c>
      <c r="C35" s="86">
        <v>820.7633089613164</v>
      </c>
      <c r="D35" s="86">
        <v>1223.6721631365413</v>
      </c>
    </row>
    <row r="36" spans="1:4" x14ac:dyDescent="0.3">
      <c r="A36" s="53">
        <v>500</v>
      </c>
      <c r="B36" s="86">
        <v>1131.5908075947257</v>
      </c>
      <c r="C36" s="86">
        <v>822.84464954311613</v>
      </c>
      <c r="D36" s="86">
        <v>1282.1360687994929</v>
      </c>
    </row>
    <row r="37" spans="1:4" x14ac:dyDescent="0.3">
      <c r="A37" s="53">
        <v>1000</v>
      </c>
      <c r="B37" s="86">
        <v>1183.2040726733189</v>
      </c>
      <c r="C37" s="86">
        <v>824.70399795454125</v>
      </c>
      <c r="D37" s="86">
        <v>1361.4202397064273</v>
      </c>
    </row>
    <row r="38" spans="1:4" x14ac:dyDescent="0.3">
      <c r="A38" s="53">
        <v>5000</v>
      </c>
      <c r="B38" s="86">
        <v>1300.6104496425924</v>
      </c>
      <c r="C38" s="86">
        <v>826.42024160221081</v>
      </c>
      <c r="D38" s="86">
        <v>1545.4252619443814</v>
      </c>
    </row>
    <row r="39" spans="1:4" x14ac:dyDescent="0.3">
      <c r="A39" s="53">
        <v>10000</v>
      </c>
      <c r="B39" s="86">
        <v>1350.4859873053704</v>
      </c>
      <c r="C39" s="86">
        <v>826.57453028069733</v>
      </c>
      <c r="D39" s="86">
        <v>1624.6579268809862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"/>
  <sheetViews>
    <sheetView workbookViewId="0">
      <selection activeCell="M22" sqref="M22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>
    <tabColor theme="6" tint="-0.499984740745262"/>
  </sheetPr>
  <dimension ref="A1:M18"/>
  <sheetViews>
    <sheetView topLeftCell="A7" workbookViewId="0">
      <selection activeCell="D9" sqref="D9"/>
    </sheetView>
  </sheetViews>
  <sheetFormatPr defaultRowHeight="17.25" x14ac:dyDescent="0.35"/>
  <cols>
    <col min="1" max="1" width="12.42578125" style="104" customWidth="1"/>
    <col min="2" max="2" width="15.42578125" style="104" customWidth="1"/>
    <col min="3" max="5" width="18.140625" style="104" customWidth="1"/>
    <col min="6" max="6" width="14" style="104" customWidth="1"/>
    <col min="7" max="7" width="14.140625" style="104" customWidth="1"/>
    <col min="8" max="16384" width="9.140625" style="104"/>
  </cols>
  <sheetData>
    <row r="1" spans="1:13" x14ac:dyDescent="0.35">
      <c r="A1" s="326" t="s">
        <v>65</v>
      </c>
      <c r="B1" s="326"/>
      <c r="C1" s="326"/>
      <c r="D1" s="326"/>
      <c r="E1" s="326"/>
      <c r="F1" s="326"/>
      <c r="G1" s="263"/>
    </row>
    <row r="2" spans="1:13" x14ac:dyDescent="0.35">
      <c r="A2" s="264" t="s">
        <v>157</v>
      </c>
      <c r="B2" s="264" t="s">
        <v>158</v>
      </c>
      <c r="C2" s="264"/>
      <c r="D2" s="264"/>
      <c r="E2" s="264"/>
      <c r="F2" s="264"/>
      <c r="G2" s="264"/>
    </row>
    <row r="3" spans="1:13" x14ac:dyDescent="0.35">
      <c r="A3" s="104" t="s">
        <v>155</v>
      </c>
      <c r="B3" s="104" t="s">
        <v>154</v>
      </c>
    </row>
    <row r="5" spans="1:13" x14ac:dyDescent="0.35">
      <c r="A5" s="104" t="s">
        <v>153</v>
      </c>
      <c r="B5" s="239">
        <v>43343</v>
      </c>
      <c r="C5" s="239"/>
      <c r="D5" s="239"/>
      <c r="E5" s="239"/>
    </row>
    <row r="6" spans="1:13" x14ac:dyDescent="0.35">
      <c r="A6" s="104" t="s">
        <v>152</v>
      </c>
    </row>
    <row r="7" spans="1:13" x14ac:dyDescent="0.35">
      <c r="A7" s="265" t="s">
        <v>268</v>
      </c>
      <c r="B7" s="87"/>
      <c r="C7" s="87"/>
      <c r="D7" s="87"/>
      <c r="E7" s="87"/>
    </row>
    <row r="8" spans="1:13" ht="87.75" x14ac:dyDescent="0.35">
      <c r="A8" s="128" t="s">
        <v>135</v>
      </c>
      <c r="B8" s="128" t="s">
        <v>41</v>
      </c>
      <c r="C8" s="181" t="s">
        <v>272</v>
      </c>
      <c r="D8" s="181" t="s">
        <v>238</v>
      </c>
      <c r="E8" s="181" t="s">
        <v>239</v>
      </c>
      <c r="F8" s="181" t="s">
        <v>223</v>
      </c>
      <c r="G8" s="181" t="s">
        <v>151</v>
      </c>
    </row>
    <row r="9" spans="1:13" x14ac:dyDescent="0.35">
      <c r="A9" s="135">
        <v>1</v>
      </c>
      <c r="B9" s="242">
        <v>2</v>
      </c>
      <c r="C9" s="293">
        <f>+INDEX('CAR FFA '!$C$120:$N$120,$H$9,H9)</f>
        <v>1366.5075935690597</v>
      </c>
      <c r="D9" s="390">
        <v>593.40947096064383</v>
      </c>
      <c r="E9" s="292">
        <v>641.46695571923897</v>
      </c>
      <c r="F9" s="292">
        <f>+'Regional regression analysis'!B42</f>
        <v>1734.8314203561122</v>
      </c>
      <c r="G9" s="294">
        <f>+'Regional flood frequency analys'!C14</f>
        <v>1705.864556670005</v>
      </c>
      <c r="H9" s="281">
        <v>1</v>
      </c>
      <c r="I9" s="110"/>
      <c r="J9" s="110"/>
      <c r="M9" s="110"/>
    </row>
    <row r="10" spans="1:13" x14ac:dyDescent="0.35">
      <c r="A10" s="135">
        <v>2</v>
      </c>
      <c r="B10" s="242">
        <v>5</v>
      </c>
      <c r="C10" s="293">
        <f>+INDEX('CAR FFA '!$C$120:$N$120,$H$9,H10)</f>
        <v>1583.6873776174575</v>
      </c>
      <c r="D10" s="390">
        <v>886.59097909481693</v>
      </c>
      <c r="E10" s="292">
        <v>1021.1040229873988</v>
      </c>
      <c r="F10" s="292">
        <f>+'Regional regression analysis'!B44</f>
        <v>2138.7429839482193</v>
      </c>
      <c r="G10" s="294">
        <f>+'Regional flood frequency analys'!C15</f>
        <v>2264.89494234627</v>
      </c>
      <c r="H10" s="281">
        <v>3</v>
      </c>
      <c r="I10" s="110"/>
      <c r="J10" s="110"/>
      <c r="M10" s="110"/>
    </row>
    <row r="11" spans="1:13" x14ac:dyDescent="0.35">
      <c r="A11" s="135">
        <v>3</v>
      </c>
      <c r="B11" s="242">
        <v>10</v>
      </c>
      <c r="C11" s="293">
        <f>+INDEX('CAR FFA '!$C$120:$N$120,$H$9,H11)</f>
        <v>1727.4792920940479</v>
      </c>
      <c r="D11" s="390">
        <v>1093.5594908081575</v>
      </c>
      <c r="E11" s="292">
        <v>1301.8881602950757</v>
      </c>
      <c r="F11" s="292">
        <f>+'Regional regression analysis'!B45</f>
        <v>2413.7036888961175</v>
      </c>
      <c r="G11" s="294">
        <f>+'Regional flood frequency analys'!C16</f>
        <v>2642.8630848400408</v>
      </c>
      <c r="H11" s="281">
        <v>4</v>
      </c>
      <c r="I11" s="110"/>
      <c r="J11" s="110"/>
      <c r="M11" s="110"/>
    </row>
    <row r="12" spans="1:13" x14ac:dyDescent="0.35">
      <c r="A12" s="135">
        <v>4</v>
      </c>
      <c r="B12" s="242">
        <v>20</v>
      </c>
      <c r="C12" s="293">
        <f>+INDEX('CAR FFA '!$C$120:$N$120,$H$9,H12)</f>
        <v>1865.4079486951748</v>
      </c>
      <c r="D12" s="390">
        <v>1300.2165105356835</v>
      </c>
      <c r="E12" s="292">
        <v>1590.795016642227</v>
      </c>
      <c r="F12" s="292">
        <f>+'Regional regression analysis'!B46</f>
        <v>2683.1997754800686</v>
      </c>
      <c r="G12" s="294">
        <f>+'Regional flood frequency analys'!C17</f>
        <v>3011.4005343339504</v>
      </c>
      <c r="H12" s="281">
        <v>5</v>
      </c>
      <c r="I12" s="110"/>
      <c r="J12" s="110"/>
      <c r="M12" s="110"/>
    </row>
    <row r="13" spans="1:13" x14ac:dyDescent="0.35">
      <c r="A13" s="135">
        <v>5</v>
      </c>
      <c r="B13" s="242">
        <v>50</v>
      </c>
      <c r="C13" s="293">
        <f>+INDEX('CAR FFA '!$C$120:$N$120,$H$9,H13)</f>
        <v>2043.9424467413792</v>
      </c>
      <c r="D13" s="390">
        <v>1580.2108060380426</v>
      </c>
      <c r="E13" s="292">
        <v>1993.8142585595176</v>
      </c>
      <c r="F13" s="292">
        <f>+'Regional regression analysis'!B47</f>
        <v>3041.6742675401219</v>
      </c>
      <c r="G13" s="294">
        <f>+'Regional flood frequency analys'!C18</f>
        <v>3498.5332696678279</v>
      </c>
      <c r="H13" s="281">
        <v>6</v>
      </c>
      <c r="I13" s="110"/>
      <c r="J13" s="110"/>
      <c r="M13" s="110"/>
    </row>
    <row r="14" spans="1:13" s="111" customFormat="1" x14ac:dyDescent="0.35">
      <c r="A14" s="295">
        <v>6</v>
      </c>
      <c r="B14" s="296">
        <v>100</v>
      </c>
      <c r="C14" s="297">
        <f>+INDEX('CAR FFA '!$C$120:$N$120,$H$9,H14)</f>
        <v>2177.7289294239326</v>
      </c>
      <c r="D14" s="391">
        <v>1799.0498687611546</v>
      </c>
      <c r="E14" s="298">
        <v>2316.888641857146</v>
      </c>
      <c r="F14" s="299">
        <f>+'Regional regression analysis'!B48</f>
        <v>3318.5772245843036</v>
      </c>
      <c r="G14" s="299">
        <f>+'Regional flood frequency analys'!C19</f>
        <v>3872.2857622351303</v>
      </c>
      <c r="H14" s="322">
        <v>7</v>
      </c>
      <c r="I14" s="323"/>
      <c r="J14" s="323"/>
      <c r="M14" s="323"/>
    </row>
    <row r="15" spans="1:13" x14ac:dyDescent="0.35">
      <c r="A15" s="135">
        <v>7</v>
      </c>
      <c r="B15" s="242">
        <v>200</v>
      </c>
      <c r="C15" s="293">
        <f>+INDEX('CAR FFA '!$C$120:$N$120,$H$9,H15)</f>
        <v>2311.0272477042513</v>
      </c>
      <c r="D15" s="390">
        <v>2026.8211206738338</v>
      </c>
      <c r="E15" s="292">
        <v>2659.8089253833186</v>
      </c>
      <c r="F15" s="292">
        <f>+'Regional regression analysis'!B49</f>
        <v>3602.5271530325663</v>
      </c>
      <c r="G15" s="294">
        <f>+'Regional flood frequency analys'!C20</f>
        <v>4253.1835124897561</v>
      </c>
      <c r="H15" s="281">
        <v>8</v>
      </c>
      <c r="I15" s="110"/>
      <c r="J15" s="110"/>
      <c r="M15" s="110"/>
    </row>
    <row r="16" spans="1:13" x14ac:dyDescent="0.35">
      <c r="A16" s="135">
        <v>8</v>
      </c>
      <c r="B16" s="242">
        <v>500</v>
      </c>
      <c r="C16" s="293">
        <f>+INDEX('CAR FFA '!$C$120:$N$120,$H$9,H16)</f>
        <v>2486.8890673549931</v>
      </c>
      <c r="D16" s="390">
        <v>2340.756630060092</v>
      </c>
      <c r="E16" s="292">
        <v>3142.4207617626303</v>
      </c>
      <c r="F16" s="292">
        <f>+'Regional regression analysis'!B50</f>
        <v>3990.9480152374672</v>
      </c>
      <c r="G16" s="294">
        <f>+'Regional flood frequency analys'!C21</f>
        <v>4770.301183087563</v>
      </c>
      <c r="H16" s="281">
        <v>9</v>
      </c>
      <c r="I16" s="110"/>
      <c r="J16" s="110"/>
      <c r="M16" s="110"/>
    </row>
    <row r="17" spans="1:13" x14ac:dyDescent="0.35">
      <c r="A17" s="135">
        <v>9</v>
      </c>
      <c r="B17" s="242">
        <v>1000</v>
      </c>
      <c r="C17" s="293">
        <f>+INDEX('CAR FFA '!$C$120:$N$120,$H$9,H17)</f>
        <v>2619.8012637395823</v>
      </c>
      <c r="D17" s="390">
        <v>2589.7575278919867</v>
      </c>
      <c r="E17" s="292">
        <v>3532.628201500821</v>
      </c>
      <c r="F17" s="292">
        <f>+'Regional regression analysis'!B51</f>
        <v>4296.0227548188705</v>
      </c>
      <c r="G17" s="294">
        <f>+'Regional flood frequency analys'!C22</f>
        <v>5173.3059193050913</v>
      </c>
      <c r="H17" s="281">
        <v>10</v>
      </c>
      <c r="I17" s="110"/>
    </row>
    <row r="18" spans="1:13" x14ac:dyDescent="0.35">
      <c r="A18" s="135">
        <v>10</v>
      </c>
      <c r="B18" s="242">
        <v>10000</v>
      </c>
      <c r="C18" s="293">
        <f>+INDEX('CAR FFA '!$C$120:$N$120,$H$9,H18)</f>
        <v>3061.0936273141374</v>
      </c>
      <c r="D18" s="390">
        <v>3495.5700360648257</v>
      </c>
      <c r="E18" s="292">
        <v>4999.4272424113569</v>
      </c>
      <c r="F18" s="292">
        <f>+'Regional regression analysis'!B52</f>
        <v>5391.1956627870895</v>
      </c>
      <c r="G18" s="294">
        <f>+'Regional flood frequency analys'!C23</f>
        <v>6598.2533371871414</v>
      </c>
      <c r="H18" s="281">
        <v>12</v>
      </c>
      <c r="J18" s="110"/>
      <c r="M18" s="110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6" tint="-0.499984740745262"/>
  </sheetPr>
  <dimension ref="A1:Z340"/>
  <sheetViews>
    <sheetView topLeftCell="A278" zoomScale="70" zoomScaleNormal="70" zoomScaleSheetLayoutView="85" workbookViewId="0">
      <selection activeCell="F324" sqref="F324"/>
    </sheetView>
  </sheetViews>
  <sheetFormatPr defaultRowHeight="17.25" x14ac:dyDescent="0.35"/>
  <cols>
    <col min="1" max="1" width="27.7109375" style="104" customWidth="1"/>
    <col min="2" max="2" width="24.28515625" style="104" customWidth="1"/>
    <col min="3" max="3" width="21" style="104" customWidth="1"/>
    <col min="4" max="4" width="14" style="104" customWidth="1"/>
    <col min="5" max="5" width="18.140625" style="104" customWidth="1"/>
    <col min="6" max="6" width="13.5703125" style="104" customWidth="1"/>
    <col min="7" max="7" width="12.85546875" style="104" customWidth="1"/>
    <col min="8" max="8" width="12.5703125" style="104" customWidth="1"/>
    <col min="9" max="9" width="13.140625" style="104" customWidth="1"/>
    <col min="10" max="10" width="17.42578125" style="104" customWidth="1"/>
    <col min="11" max="11" width="13.85546875" style="104" customWidth="1"/>
    <col min="12" max="12" width="13.7109375" style="111" customWidth="1"/>
    <col min="13" max="13" width="16.140625" style="104" customWidth="1"/>
    <col min="14" max="14" width="16.5703125" style="104" customWidth="1"/>
    <col min="15" max="15" width="16.7109375" style="104" customWidth="1"/>
    <col min="16" max="18" width="9.5703125" style="104" bestFit="1" customWidth="1"/>
    <col min="19" max="19" width="14.85546875" style="104" customWidth="1"/>
    <col min="20" max="20" width="17.42578125" style="104" customWidth="1"/>
    <col min="21" max="21" width="15.42578125" style="104" bestFit="1" customWidth="1"/>
    <col min="22" max="22" width="10" style="104" customWidth="1"/>
    <col min="23" max="23" width="17.42578125" style="104" customWidth="1"/>
    <col min="24" max="24" width="9.140625" style="104" customWidth="1"/>
    <col min="25" max="25" width="9.28515625" style="104" customWidth="1"/>
    <col min="26" max="26" width="17.85546875" style="104" customWidth="1"/>
    <col min="27" max="27" width="16.85546875" style="104" customWidth="1"/>
    <col min="28" max="28" width="11.85546875" style="104" customWidth="1"/>
    <col min="29" max="16384" width="9.140625" style="104"/>
  </cols>
  <sheetData>
    <row r="1" spans="1:24" x14ac:dyDescent="0.35">
      <c r="A1" s="326" t="s">
        <v>65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</row>
    <row r="2" spans="1:24" x14ac:dyDescent="0.35">
      <c r="A2" s="326" t="s">
        <v>63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1:24" x14ac:dyDescent="0.35">
      <c r="A3" s="23" t="s">
        <v>11</v>
      </c>
      <c r="B3" s="23" t="str">
        <f>'Regional regression analysis'!B3</f>
        <v>Middle Kaligandaki Hydroelectric Project (MKHEP)</v>
      </c>
      <c r="C3" s="23"/>
      <c r="D3" s="106"/>
      <c r="E3" s="106"/>
      <c r="F3" s="106"/>
      <c r="G3" s="106"/>
      <c r="H3" s="106"/>
      <c r="I3" s="106"/>
      <c r="J3" s="106"/>
      <c r="K3" s="106"/>
      <c r="L3" s="107"/>
      <c r="M3" s="106"/>
      <c r="O3" s="105"/>
    </row>
    <row r="4" spans="1:24" x14ac:dyDescent="0.35">
      <c r="A4" s="23" t="s">
        <v>12</v>
      </c>
      <c r="B4" s="23" t="s">
        <v>58</v>
      </c>
      <c r="C4" s="23"/>
      <c r="D4" s="23"/>
      <c r="E4" s="106"/>
      <c r="G4" s="106"/>
      <c r="H4" s="106"/>
      <c r="I4" s="106"/>
      <c r="J4" s="106"/>
      <c r="K4" s="106"/>
      <c r="L4" s="107"/>
      <c r="M4" s="106"/>
      <c r="O4" s="105"/>
    </row>
    <row r="5" spans="1:24" x14ac:dyDescent="0.35">
      <c r="A5" s="23" t="s">
        <v>13</v>
      </c>
      <c r="B5" s="239">
        <v>43340</v>
      </c>
      <c r="C5" s="109"/>
      <c r="D5" s="106"/>
      <c r="E5" s="106"/>
      <c r="F5" s="106"/>
      <c r="G5" s="106"/>
      <c r="H5" s="106"/>
      <c r="I5" s="106"/>
      <c r="J5" s="106"/>
      <c r="K5" s="106"/>
      <c r="L5" s="107"/>
      <c r="M5" s="106"/>
      <c r="N5" s="110"/>
      <c r="O5" s="105"/>
    </row>
    <row r="6" spans="1:24" x14ac:dyDescent="0.35">
      <c r="A6" s="106" t="str">
        <f>'Regional regression analysis'!A6</f>
        <v>Calculated by: S. Shrestha</v>
      </c>
      <c r="N6" s="110"/>
      <c r="O6" s="105"/>
    </row>
    <row r="7" spans="1:24" x14ac:dyDescent="0.35">
      <c r="A7" s="106" t="s">
        <v>134</v>
      </c>
      <c r="N7" s="110"/>
      <c r="O7" s="105"/>
    </row>
    <row r="8" spans="1:24" x14ac:dyDescent="0.35">
      <c r="A8" s="112" t="s">
        <v>106</v>
      </c>
      <c r="N8" s="110"/>
      <c r="O8" s="105"/>
    </row>
    <row r="9" spans="1:24" x14ac:dyDescent="0.35">
      <c r="A9" s="112"/>
      <c r="B9" s="111"/>
      <c r="C9" s="111"/>
      <c r="D9" s="111"/>
      <c r="E9" s="111"/>
      <c r="F9" s="111"/>
      <c r="G9" s="111"/>
      <c r="H9" s="111"/>
      <c r="I9" s="111"/>
      <c r="J9" s="111"/>
      <c r="K9" s="111"/>
      <c r="M9" s="111"/>
      <c r="N9" s="110"/>
      <c r="O9" s="105"/>
    </row>
    <row r="10" spans="1:24" x14ac:dyDescent="0.35">
      <c r="A10" s="112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M10" s="111"/>
      <c r="N10" s="110"/>
      <c r="O10" s="105"/>
    </row>
    <row r="11" spans="1:24" x14ac:dyDescent="0.35">
      <c r="A11" s="87" t="s">
        <v>137</v>
      </c>
      <c r="D11" s="111"/>
      <c r="E11" s="111"/>
      <c r="F11" s="111"/>
      <c r="G11" s="111"/>
      <c r="H11" s="111"/>
      <c r="I11" s="111"/>
      <c r="J11" s="111"/>
      <c r="K11" s="111"/>
      <c r="M11" s="111"/>
      <c r="N11" s="110"/>
      <c r="O11" s="105"/>
    </row>
    <row r="12" spans="1:24" x14ac:dyDescent="0.35">
      <c r="D12" s="111"/>
      <c r="E12" s="111"/>
      <c r="F12" s="111"/>
      <c r="G12" s="111"/>
      <c r="H12" s="111"/>
      <c r="I12" s="111"/>
      <c r="J12" s="111"/>
      <c r="K12" s="111"/>
      <c r="M12" s="111"/>
      <c r="N12" s="110"/>
      <c r="O12" s="105"/>
    </row>
    <row r="13" spans="1:24" ht="34.5" x14ac:dyDescent="0.35">
      <c r="A13" s="181" t="s">
        <v>135</v>
      </c>
      <c r="B13" s="181" t="s">
        <v>25</v>
      </c>
      <c r="C13" s="181" t="s">
        <v>136</v>
      </c>
      <c r="D13" s="111"/>
      <c r="E13" s="111"/>
      <c r="F13" s="111"/>
      <c r="G13" s="111"/>
      <c r="H13" s="111"/>
      <c r="I13" s="111"/>
      <c r="J13" s="111"/>
      <c r="K13" s="111"/>
      <c r="M13" s="111"/>
      <c r="N13" s="110"/>
      <c r="O13" s="105"/>
    </row>
    <row r="14" spans="1:24" x14ac:dyDescent="0.35">
      <c r="A14" s="131">
        <v>1</v>
      </c>
      <c r="B14" s="135">
        <v>2</v>
      </c>
      <c r="C14" s="178">
        <f t="shared" ref="C14:C23" si="0">+INDEX($B$323:$L$323,$D$14,D14)</f>
        <v>1705.864556670005</v>
      </c>
      <c r="D14" s="284">
        <v>1</v>
      </c>
      <c r="E14" s="111"/>
      <c r="F14" s="111"/>
      <c r="G14" s="111"/>
      <c r="H14" s="111"/>
      <c r="I14" s="111"/>
      <c r="J14" s="111"/>
      <c r="K14" s="111"/>
      <c r="M14" s="111"/>
      <c r="N14" s="110"/>
      <c r="O14" s="105"/>
    </row>
    <row r="15" spans="1:24" x14ac:dyDescent="0.35">
      <c r="A15" s="131">
        <v>2</v>
      </c>
      <c r="B15" s="135">
        <v>5</v>
      </c>
      <c r="C15" s="178">
        <f t="shared" si="0"/>
        <v>2264.89494234627</v>
      </c>
      <c r="D15" s="284">
        <v>2</v>
      </c>
      <c r="E15" s="111"/>
      <c r="F15" s="111"/>
      <c r="G15" s="111"/>
      <c r="H15" s="111"/>
      <c r="I15" s="111"/>
      <c r="J15" s="111"/>
      <c r="M15" s="111"/>
      <c r="N15" s="110"/>
      <c r="O15" s="105"/>
    </row>
    <row r="16" spans="1:24" x14ac:dyDescent="0.35">
      <c r="A16" s="131">
        <v>3</v>
      </c>
      <c r="B16" s="135">
        <v>10</v>
      </c>
      <c r="C16" s="178">
        <f t="shared" si="0"/>
        <v>2642.8630848400408</v>
      </c>
      <c r="D16" s="284">
        <v>3</v>
      </c>
      <c r="E16" s="111"/>
      <c r="F16" s="111"/>
      <c r="G16" s="111"/>
      <c r="H16" s="111"/>
      <c r="I16" s="111"/>
      <c r="J16" s="111"/>
      <c r="M16" s="111"/>
      <c r="N16" s="110"/>
      <c r="O16" s="105"/>
    </row>
    <row r="17" spans="1:15" x14ac:dyDescent="0.35">
      <c r="A17" s="131">
        <v>4</v>
      </c>
      <c r="B17" s="135">
        <v>20</v>
      </c>
      <c r="C17" s="178">
        <f t="shared" si="0"/>
        <v>3011.4005343339504</v>
      </c>
      <c r="D17" s="284">
        <v>4</v>
      </c>
      <c r="E17" s="111"/>
      <c r="F17" s="111"/>
      <c r="G17" s="111"/>
      <c r="H17" s="111"/>
      <c r="I17" s="111"/>
      <c r="J17" s="111"/>
      <c r="M17" s="111"/>
      <c r="N17" s="110"/>
      <c r="O17" s="105"/>
    </row>
    <row r="18" spans="1:15" x14ac:dyDescent="0.35">
      <c r="A18" s="131">
        <v>5</v>
      </c>
      <c r="B18" s="135">
        <v>50</v>
      </c>
      <c r="C18" s="178">
        <f t="shared" si="0"/>
        <v>3498.5332696678279</v>
      </c>
      <c r="D18" s="284">
        <v>5</v>
      </c>
      <c r="E18" s="111"/>
      <c r="F18" s="111"/>
      <c r="G18" s="111"/>
      <c r="H18" s="111"/>
      <c r="I18" s="111"/>
      <c r="J18" s="111"/>
      <c r="M18" s="111"/>
      <c r="N18" s="110"/>
      <c r="O18" s="105"/>
    </row>
    <row r="19" spans="1:15" x14ac:dyDescent="0.35">
      <c r="A19" s="236">
        <v>6</v>
      </c>
      <c r="B19" s="237">
        <v>100</v>
      </c>
      <c r="C19" s="238">
        <f t="shared" si="0"/>
        <v>3872.2857622351303</v>
      </c>
      <c r="D19" s="284">
        <v>6</v>
      </c>
      <c r="E19" s="111"/>
      <c r="F19" s="111"/>
      <c r="G19" s="111"/>
      <c r="H19" s="111"/>
      <c r="I19" s="111"/>
      <c r="J19" s="111"/>
      <c r="M19" s="111"/>
      <c r="N19" s="110"/>
      <c r="O19" s="105"/>
    </row>
    <row r="20" spans="1:15" x14ac:dyDescent="0.35">
      <c r="A20" s="131">
        <v>7</v>
      </c>
      <c r="B20" s="135">
        <v>200</v>
      </c>
      <c r="C20" s="178">
        <f t="shared" si="0"/>
        <v>4253.1835124897561</v>
      </c>
      <c r="D20" s="284">
        <v>7</v>
      </c>
      <c r="E20" s="111"/>
      <c r="F20" s="111"/>
      <c r="G20" s="111"/>
      <c r="H20" s="111"/>
      <c r="I20" s="111"/>
      <c r="J20" s="111"/>
      <c r="M20" s="111"/>
      <c r="N20" s="110"/>
      <c r="O20" s="105"/>
    </row>
    <row r="21" spans="1:15" x14ac:dyDescent="0.35">
      <c r="A21" s="131">
        <v>8</v>
      </c>
      <c r="B21" s="161">
        <v>500</v>
      </c>
      <c r="C21" s="178">
        <f t="shared" si="0"/>
        <v>4770.301183087563</v>
      </c>
      <c r="D21" s="284">
        <v>8</v>
      </c>
      <c r="E21" s="111"/>
      <c r="F21" s="111"/>
      <c r="G21" s="111"/>
      <c r="H21" s="111"/>
      <c r="I21" s="111"/>
      <c r="J21" s="111"/>
      <c r="M21" s="111"/>
      <c r="N21" s="110"/>
      <c r="O21" s="105"/>
    </row>
    <row r="22" spans="1:15" x14ac:dyDescent="0.35">
      <c r="A22" s="131">
        <v>9</v>
      </c>
      <c r="B22" s="161">
        <v>1000</v>
      </c>
      <c r="C22" s="178">
        <f t="shared" si="0"/>
        <v>5173.3059193050913</v>
      </c>
      <c r="D22" s="284">
        <v>9</v>
      </c>
      <c r="E22" s="111"/>
      <c r="F22" s="111"/>
      <c r="G22" s="111"/>
      <c r="H22" s="111"/>
      <c r="I22" s="111"/>
      <c r="J22" s="111"/>
      <c r="M22" s="111"/>
      <c r="N22" s="110"/>
      <c r="O22" s="105"/>
    </row>
    <row r="23" spans="1:15" x14ac:dyDescent="0.35">
      <c r="A23" s="131">
        <v>10</v>
      </c>
      <c r="B23" s="161">
        <v>10000</v>
      </c>
      <c r="C23" s="178">
        <f t="shared" si="0"/>
        <v>6598.2533371871414</v>
      </c>
      <c r="D23" s="284">
        <v>11</v>
      </c>
      <c r="E23" s="111"/>
      <c r="F23" s="111"/>
      <c r="G23" s="111"/>
      <c r="H23" s="111"/>
      <c r="I23" s="111"/>
      <c r="J23" s="111"/>
      <c r="M23" s="111"/>
      <c r="N23" s="110"/>
      <c r="O23" s="105"/>
    </row>
    <row r="24" spans="1:15" x14ac:dyDescent="0.35">
      <c r="A24" s="150"/>
      <c r="B24" s="282"/>
      <c r="C24" s="283"/>
      <c r="D24" s="111"/>
      <c r="E24" s="111"/>
      <c r="F24" s="111"/>
      <c r="G24" s="111"/>
      <c r="H24" s="111"/>
      <c r="I24" s="111"/>
      <c r="J24" s="111"/>
      <c r="M24" s="111"/>
      <c r="N24" s="110"/>
      <c r="O24" s="105"/>
    </row>
    <row r="25" spans="1:15" x14ac:dyDescent="0.3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M25" s="111"/>
      <c r="N25" s="110"/>
      <c r="O25" s="105"/>
    </row>
    <row r="26" spans="1:15" hidden="1" x14ac:dyDescent="0.35">
      <c r="A26" s="330" t="s">
        <v>0</v>
      </c>
      <c r="B26" s="345" t="s">
        <v>1</v>
      </c>
      <c r="C26" s="346"/>
      <c r="D26" s="346"/>
      <c r="E26" s="346"/>
      <c r="F26" s="346"/>
      <c r="G26" s="346"/>
      <c r="H26" s="346"/>
      <c r="I26" s="346"/>
      <c r="J26" s="346"/>
      <c r="K26" s="346"/>
      <c r="L26" s="347"/>
      <c r="M26" s="113"/>
      <c r="N26" s="110"/>
      <c r="O26" s="105"/>
    </row>
    <row r="27" spans="1:15" hidden="1" x14ac:dyDescent="0.35">
      <c r="A27" s="331"/>
      <c r="B27" s="166">
        <v>1</v>
      </c>
      <c r="C27" s="166">
        <v>2</v>
      </c>
      <c r="D27" s="166">
        <v>2.33</v>
      </c>
      <c r="E27" s="166">
        <v>5</v>
      </c>
      <c r="F27" s="166">
        <v>10</v>
      </c>
      <c r="G27" s="166">
        <v>20</v>
      </c>
      <c r="H27" s="166">
        <v>50</v>
      </c>
      <c r="I27" s="166">
        <v>100</v>
      </c>
      <c r="J27" s="166">
        <v>200</v>
      </c>
      <c r="K27" s="166">
        <v>500</v>
      </c>
      <c r="L27" s="163">
        <v>1000</v>
      </c>
      <c r="M27" s="114"/>
      <c r="N27" s="110"/>
      <c r="O27" s="105"/>
    </row>
    <row r="28" spans="1:15" hidden="1" x14ac:dyDescent="0.35">
      <c r="A28" s="115" t="s">
        <v>8</v>
      </c>
      <c r="B28" s="116">
        <f>+INDEX('Bhakbesi.(439.35'!$F$71:$F$83,'Regional flood frequency analys'!B198)</f>
        <v>13.180539534389816</v>
      </c>
      <c r="C28" s="116">
        <f>+INDEX('Bhakbesi.(439.35'!$F$71:$F$83,'Regional flood frequency analys'!C198)</f>
        <v>38.797716681037848</v>
      </c>
      <c r="D28" s="116">
        <f>+INDEX('Bhakbesi.(439.35'!$F$71:$F$83,'Regional flood frequency analys'!D198)</f>
        <v>41.879585121268356</v>
      </c>
      <c r="E28" s="116">
        <f>+INDEX('Bhakbesi.(439.35'!$F$71:$F$83,'Regional flood frequency analys'!E198)</f>
        <v>55.673174224534073</v>
      </c>
      <c r="F28" s="116">
        <f>+INDEX('Bhakbesi.(439.35'!$F$71:$F$83,'Regional flood frequency analys'!F198)</f>
        <v>67.252508582039468</v>
      </c>
      <c r="G28" s="116">
        <f>+INDEX('Bhakbesi.(439.35'!$F$71:$F$83,'Regional flood frequency analys'!G198)</f>
        <v>78.606440781594543</v>
      </c>
      <c r="H28" s="116">
        <f>+INDEX('Bhakbesi.(439.35'!$F$71:$F$83,'Regional flood frequency analys'!H198)</f>
        <v>93.68875179721249</v>
      </c>
      <c r="I28" s="116">
        <f>+INDEX('Bhakbesi.(439.35'!$F$71:$F$83,'Regional flood frequency analys'!I198)</f>
        <v>105.31658855222544</v>
      </c>
      <c r="J28" s="116">
        <f>+INDEX('Bhakbesi.(439.35'!$F$71:$F$83,'Regional flood frequency analys'!J198)</f>
        <v>117.21735435905538</v>
      </c>
      <c r="K28" s="116">
        <f>+INDEX('Bhakbesi.(439.35'!$F$71:$F$83,'Regional flood frequency analys'!K198)</f>
        <v>133.45413004777024</v>
      </c>
      <c r="L28" s="116">
        <f>+INDEX('Bhakbesi.(439.35'!$F$71:$F$83,'Regional flood frequency analys'!L198)</f>
        <v>146.16711989401301</v>
      </c>
      <c r="M28" s="117"/>
      <c r="N28" s="118"/>
    </row>
    <row r="29" spans="1:15" hidden="1" x14ac:dyDescent="0.35">
      <c r="A29" s="115" t="s">
        <v>9</v>
      </c>
      <c r="B29" s="119">
        <f>+INDEX('Bhakbesi.(439.35'!$I$71:$I$83,'Regional flood frequency analys'!B198)</f>
        <v>10.650522372649394</v>
      </c>
      <c r="C29" s="119">
        <f>+INDEX('Bhakbesi.(439.35'!$I$71:$I$83,'Regional flood frequency analys'!C198)</f>
        <v>40.372649990616935</v>
      </c>
      <c r="D29" s="119">
        <f>+INDEX('Bhakbesi.(439.35'!$I$71:$I$83,'Regional flood frequency analys'!D198)</f>
        <v>43.467048191179366</v>
      </c>
      <c r="E29" s="119">
        <f>+INDEX('Bhakbesi.(439.35'!$I$71:$I$83,'Regional flood frequency analys'!E198)</f>
        <v>56.01221793427024</v>
      </c>
      <c r="F29" s="119">
        <f>+INDEX('Bhakbesi.(439.35'!$I$71:$I$83,'Regional flood frequency analys'!F198)</f>
        <v>65.10016179823478</v>
      </c>
      <c r="G29" s="119">
        <f>+INDEX('Bhakbesi.(439.35'!$I$71:$I$83,'Regional flood frequency analys'!G198)</f>
        <v>72.952778718875834</v>
      </c>
      <c r="H29" s="119">
        <f>+INDEX('Bhakbesi.(439.35'!$I$71:$I$83,'Regional flood frequency analys'!H198)</f>
        <v>82.051757816916975</v>
      </c>
      <c r="I29" s="119">
        <f>+INDEX('Bhakbesi.(439.35'!$I$71:$I$83,'Regional flood frequency analys'!I198)</f>
        <v>88.208313124918703</v>
      </c>
      <c r="J29" s="119">
        <f>+INDEX('Bhakbesi.(439.35'!$I$71:$I$83,'Regional flood frequency analys'!J198)</f>
        <v>93.865311772746196</v>
      </c>
      <c r="K29" s="119">
        <f>+INDEX('Bhakbesi.(439.35'!$I$71:$I$83,'Regional flood frequency analys'!K198)</f>
        <v>100.70249117498928</v>
      </c>
      <c r="L29" s="119">
        <f>+INDEX('Bhakbesi.(439.35'!$I$71:$I$83,'Regional flood frequency analys'!L198)</f>
        <v>105.45812771802943</v>
      </c>
      <c r="M29" s="117"/>
      <c r="N29" s="118"/>
    </row>
    <row r="30" spans="1:15" hidden="1" x14ac:dyDescent="0.35">
      <c r="A30" s="120" t="s">
        <v>7</v>
      </c>
      <c r="B30" s="121" t="s">
        <v>73</v>
      </c>
      <c r="C30" s="122">
        <f>+INDEX('Bhakbesi.(439.35'!$K$71:$K$83,'Regional flood frequency analys'!C198)</f>
        <v>39.389718408371159</v>
      </c>
      <c r="D30" s="122">
        <f>+INDEX('Bhakbesi.(439.35'!$K$71:$K$83,'Regional flood frequency analys'!D198)</f>
        <v>42.013399757896693</v>
      </c>
      <c r="E30" s="122">
        <f>+INDEX('Bhakbesi.(439.35'!$K$71:$K$83,'Regional flood frequency analys'!E198)</f>
        <v>53.411861217756417</v>
      </c>
      <c r="F30" s="122">
        <f>+INDEX('Bhakbesi.(439.35'!$K$71:$K$83,'Regional flood frequency analys'!F198)</f>
        <v>62.695739864474042</v>
      </c>
      <c r="G30" s="122">
        <f>+INDEX('Bhakbesi.(439.35'!$K$71:$K$83,'Regional flood frequency analys'!G198)</f>
        <v>71.601059154858206</v>
      </c>
      <c r="H30" s="122">
        <f>+INDEX('Bhakbesi.(439.35'!$K$71:$K$83,'Regional flood frequency analys'!H198)</f>
        <v>83.128081520107031</v>
      </c>
      <c r="I30" s="122">
        <f>+INDEX('Bhakbesi.(439.35'!$K$71:$K$83,'Regional flood frequency analys'!I198)</f>
        <v>91.765962685520023</v>
      </c>
      <c r="J30" s="122">
        <f>+INDEX('Bhakbesi.(439.35'!$K$71:$K$83,'Regional flood frequency analys'!J198)</f>
        <v>100.3723256735272</v>
      </c>
      <c r="K30" s="122">
        <f>+INDEX('Bhakbesi.(439.35'!$K$71:$K$83,'Regional flood frequency analys'!K198)</f>
        <v>111.72678741896999</v>
      </c>
      <c r="L30" s="122">
        <f>+INDEX('Bhakbesi.(439.35'!$K$71:$K$83,'Regional flood frequency analys'!L198)</f>
        <v>120.30822057113875</v>
      </c>
      <c r="M30" s="117"/>
      <c r="N30" s="118"/>
    </row>
    <row r="31" spans="1:15" hidden="1" x14ac:dyDescent="0.35">
      <c r="A31" s="118"/>
      <c r="B31" s="114"/>
      <c r="C31" s="117"/>
      <c r="E31" s="117"/>
      <c r="F31" s="117"/>
      <c r="G31" s="117"/>
      <c r="H31" s="117"/>
      <c r="I31" s="117"/>
      <c r="J31" s="117"/>
      <c r="K31" s="117"/>
      <c r="L31" s="117"/>
      <c r="M31" s="117"/>
      <c r="N31" s="118"/>
    </row>
    <row r="32" spans="1:15" hidden="1" x14ac:dyDescent="0.35">
      <c r="A32" s="118"/>
      <c r="B32" s="114"/>
      <c r="C32" s="117"/>
      <c r="E32" s="117"/>
      <c r="F32" s="117"/>
      <c r="G32" s="117"/>
      <c r="H32" s="117"/>
      <c r="I32" s="117"/>
      <c r="J32" s="117"/>
      <c r="K32" s="117"/>
      <c r="L32" s="117"/>
      <c r="M32" s="117"/>
      <c r="N32" s="118"/>
    </row>
    <row r="33" spans="1:14" hidden="1" x14ac:dyDescent="0.35">
      <c r="A33" s="118"/>
      <c r="B33" s="114"/>
      <c r="C33" s="117"/>
      <c r="E33" s="117"/>
      <c r="F33" s="117"/>
      <c r="G33" s="117"/>
      <c r="H33" s="117"/>
      <c r="I33" s="117"/>
      <c r="J33" s="117"/>
      <c r="K33" s="117"/>
      <c r="L33" s="117"/>
      <c r="M33" s="117"/>
      <c r="N33" s="118"/>
    </row>
    <row r="34" spans="1:14" hidden="1" x14ac:dyDescent="0.35">
      <c r="A34" s="118"/>
      <c r="B34" s="114"/>
      <c r="C34" s="117"/>
      <c r="E34" s="117"/>
      <c r="F34" s="117"/>
      <c r="G34" s="117"/>
      <c r="H34" s="117"/>
      <c r="I34" s="117"/>
      <c r="J34" s="117"/>
      <c r="K34" s="117"/>
      <c r="L34" s="117"/>
      <c r="M34" s="117"/>
      <c r="N34" s="118"/>
    </row>
    <row r="35" spans="1:14" hidden="1" x14ac:dyDescent="0.35">
      <c r="A35" s="118"/>
      <c r="B35" s="114"/>
      <c r="C35" s="117"/>
      <c r="E35" s="117"/>
      <c r="F35" s="117"/>
      <c r="G35" s="117"/>
      <c r="H35" s="117"/>
      <c r="I35" s="117"/>
      <c r="J35" s="117"/>
      <c r="K35" s="117"/>
      <c r="L35" s="117"/>
      <c r="M35" s="117"/>
      <c r="N35" s="118"/>
    </row>
    <row r="36" spans="1:14" hidden="1" x14ac:dyDescent="0.35">
      <c r="A36" s="118"/>
      <c r="B36" s="114"/>
      <c r="C36" s="117"/>
      <c r="E36" s="117"/>
      <c r="F36" s="117"/>
      <c r="G36" s="117"/>
      <c r="H36" s="117"/>
      <c r="I36" s="117"/>
      <c r="J36" s="117"/>
      <c r="K36" s="117"/>
      <c r="L36" s="117"/>
      <c r="M36" s="117"/>
      <c r="N36" s="118"/>
    </row>
    <row r="37" spans="1:14" hidden="1" x14ac:dyDescent="0.35">
      <c r="A37" s="118"/>
      <c r="B37" s="114"/>
      <c r="C37" s="117"/>
      <c r="E37" s="117"/>
      <c r="F37" s="117"/>
      <c r="G37" s="117"/>
      <c r="H37" s="117"/>
      <c r="I37" s="117"/>
      <c r="J37" s="117"/>
      <c r="K37" s="117"/>
      <c r="L37" s="117"/>
      <c r="M37" s="117"/>
      <c r="N37" s="118"/>
    </row>
    <row r="38" spans="1:14" hidden="1" x14ac:dyDescent="0.35">
      <c r="A38" s="118"/>
      <c r="B38" s="114"/>
      <c r="C38" s="117"/>
      <c r="E38" s="117"/>
      <c r="F38" s="117"/>
      <c r="G38" s="117"/>
      <c r="H38" s="117"/>
      <c r="I38" s="117"/>
      <c r="J38" s="117"/>
      <c r="K38" s="117"/>
      <c r="L38" s="117"/>
      <c r="M38" s="117"/>
      <c r="N38" s="118"/>
    </row>
    <row r="39" spans="1:14" hidden="1" x14ac:dyDescent="0.35">
      <c r="A39" s="118"/>
      <c r="B39" s="114"/>
      <c r="C39" s="117"/>
      <c r="E39" s="117"/>
      <c r="F39" s="117"/>
      <c r="G39" s="117"/>
      <c r="H39" s="117"/>
      <c r="I39" s="117"/>
      <c r="J39" s="117"/>
      <c r="K39" s="117"/>
      <c r="L39" s="117"/>
      <c r="M39" s="117"/>
      <c r="N39" s="118"/>
    </row>
    <row r="40" spans="1:14" hidden="1" x14ac:dyDescent="0.35">
      <c r="A40" s="118"/>
      <c r="B40" s="114"/>
      <c r="C40" s="117"/>
      <c r="E40" s="117"/>
      <c r="F40" s="117"/>
      <c r="G40" s="117"/>
      <c r="H40" s="117"/>
      <c r="I40" s="117"/>
      <c r="J40" s="117"/>
      <c r="K40" s="117"/>
      <c r="L40" s="117"/>
      <c r="M40" s="117"/>
      <c r="N40" s="118"/>
    </row>
    <row r="41" spans="1:14" hidden="1" x14ac:dyDescent="0.35">
      <c r="A41" s="118"/>
      <c r="B41" s="114"/>
      <c r="C41" s="117"/>
      <c r="E41" s="117"/>
      <c r="F41" s="117"/>
      <c r="G41" s="117"/>
      <c r="H41" s="117"/>
      <c r="I41" s="117"/>
      <c r="J41" s="117"/>
      <c r="K41" s="117"/>
      <c r="L41" s="117"/>
      <c r="M41" s="117"/>
      <c r="N41" s="118"/>
    </row>
    <row r="42" spans="1:14" hidden="1" x14ac:dyDescent="0.35">
      <c r="A42" s="118"/>
      <c r="B42" s="114"/>
      <c r="C42" s="117"/>
      <c r="E42" s="117"/>
      <c r="F42" s="117"/>
      <c r="G42" s="117"/>
      <c r="H42" s="117"/>
      <c r="I42" s="117"/>
      <c r="J42" s="117"/>
      <c r="K42" s="117"/>
      <c r="L42" s="117"/>
      <c r="M42" s="117"/>
      <c r="N42" s="118"/>
    </row>
    <row r="43" spans="1:14" hidden="1" x14ac:dyDescent="0.35">
      <c r="A43" s="118"/>
      <c r="B43" s="114"/>
      <c r="C43" s="117"/>
      <c r="E43" s="117"/>
      <c r="F43" s="117"/>
      <c r="G43" s="117"/>
      <c r="H43" s="117"/>
      <c r="I43" s="117"/>
      <c r="J43" s="117"/>
      <c r="K43" s="117"/>
      <c r="L43" s="117"/>
      <c r="M43" s="117"/>
      <c r="N43" s="118"/>
    </row>
    <row r="44" spans="1:14" hidden="1" x14ac:dyDescent="0.35">
      <c r="A44" s="118"/>
      <c r="B44" s="114"/>
      <c r="C44" s="117"/>
      <c r="E44" s="117"/>
      <c r="F44" s="117"/>
      <c r="G44" s="117"/>
      <c r="H44" s="117"/>
      <c r="I44" s="117"/>
      <c r="J44" s="117"/>
      <c r="K44" s="117"/>
      <c r="L44" s="117"/>
      <c r="M44" s="117"/>
      <c r="N44" s="118"/>
    </row>
    <row r="45" spans="1:14" hidden="1" x14ac:dyDescent="0.35">
      <c r="A45" s="118"/>
      <c r="B45" s="114"/>
      <c r="C45" s="117"/>
      <c r="E45" s="117"/>
      <c r="F45" s="117"/>
      <c r="G45" s="117"/>
      <c r="H45" s="117"/>
      <c r="I45" s="117"/>
      <c r="J45" s="117"/>
      <c r="K45" s="117"/>
      <c r="L45" s="117"/>
      <c r="M45" s="117"/>
      <c r="N45" s="118"/>
    </row>
    <row r="46" spans="1:14" hidden="1" x14ac:dyDescent="0.35">
      <c r="A46" s="118"/>
      <c r="B46" s="114"/>
      <c r="C46" s="117"/>
      <c r="E46" s="117"/>
      <c r="F46" s="117"/>
      <c r="G46" s="117"/>
      <c r="H46" s="117"/>
      <c r="I46" s="117"/>
      <c r="J46" s="117"/>
      <c r="K46" s="117"/>
      <c r="L46" s="117"/>
      <c r="M46" s="117"/>
      <c r="N46" s="118"/>
    </row>
    <row r="47" spans="1:14" hidden="1" x14ac:dyDescent="0.35">
      <c r="A47" s="118"/>
      <c r="B47" s="114"/>
      <c r="C47" s="117"/>
      <c r="E47" s="117"/>
      <c r="F47" s="117"/>
      <c r="G47" s="117"/>
      <c r="H47" s="117"/>
      <c r="I47" s="117"/>
      <c r="J47" s="117"/>
      <c r="K47" s="117"/>
      <c r="L47" s="117"/>
      <c r="M47" s="117"/>
      <c r="N47" s="118"/>
    </row>
    <row r="48" spans="1:14" hidden="1" x14ac:dyDescent="0.35">
      <c r="A48" s="118"/>
      <c r="B48" s="114"/>
      <c r="C48" s="117"/>
      <c r="E48" s="117"/>
      <c r="F48" s="117"/>
      <c r="G48" s="117"/>
      <c r="H48" s="117"/>
      <c r="I48" s="117"/>
      <c r="J48" s="117"/>
      <c r="K48" s="117"/>
      <c r="L48" s="117"/>
      <c r="M48" s="117"/>
      <c r="N48" s="118"/>
    </row>
    <row r="49" spans="1:14" hidden="1" x14ac:dyDescent="0.35">
      <c r="A49" s="118"/>
      <c r="B49" s="114"/>
      <c r="C49" s="117"/>
      <c r="E49" s="117"/>
      <c r="F49" s="117"/>
      <c r="G49" s="117"/>
      <c r="H49" s="117"/>
      <c r="I49" s="117"/>
      <c r="J49" s="117"/>
      <c r="K49" s="117"/>
      <c r="L49" s="117"/>
      <c r="M49" s="117"/>
      <c r="N49" s="118"/>
    </row>
    <row r="50" spans="1:14" x14ac:dyDescent="0.35">
      <c r="A50" s="126" t="s">
        <v>107</v>
      </c>
      <c r="B50" s="169"/>
      <c r="C50" s="168"/>
      <c r="D50" s="87"/>
      <c r="E50" s="117"/>
      <c r="F50" s="117"/>
      <c r="G50" s="117"/>
      <c r="H50" s="117"/>
      <c r="I50" s="117"/>
      <c r="J50" s="117"/>
      <c r="K50" s="117"/>
      <c r="L50" s="117"/>
      <c r="M50" s="117"/>
      <c r="N50" s="118"/>
    </row>
    <row r="51" spans="1:14" x14ac:dyDescent="0.35">
      <c r="A51" s="112" t="s">
        <v>257</v>
      </c>
      <c r="B51" s="114"/>
      <c r="C51" s="117"/>
      <c r="E51" s="117"/>
      <c r="F51" s="117"/>
      <c r="G51" s="117"/>
      <c r="H51" s="117"/>
      <c r="I51" s="117"/>
      <c r="J51" s="117"/>
      <c r="K51" s="117"/>
      <c r="L51" s="117"/>
      <c r="M51" s="117"/>
      <c r="N51" s="118"/>
    </row>
    <row r="52" spans="1:14" x14ac:dyDescent="0.35">
      <c r="B52" s="118"/>
      <c r="C52" s="118"/>
      <c r="E52" s="118"/>
      <c r="F52" s="118"/>
      <c r="G52" s="118"/>
      <c r="H52" s="118"/>
      <c r="I52" s="118"/>
      <c r="J52" s="118"/>
      <c r="K52" s="118"/>
      <c r="L52" s="118"/>
      <c r="M52" s="111"/>
      <c r="N52" s="111"/>
    </row>
    <row r="53" spans="1:14" x14ac:dyDescent="0.35">
      <c r="A53" s="330" t="s">
        <v>0</v>
      </c>
      <c r="B53" s="332" t="s">
        <v>1</v>
      </c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</row>
    <row r="54" spans="1:14" x14ac:dyDescent="0.35">
      <c r="A54" s="331"/>
      <c r="B54" s="166">
        <v>1</v>
      </c>
      <c r="C54" s="166">
        <v>2</v>
      </c>
      <c r="D54" s="166">
        <v>2.33</v>
      </c>
      <c r="E54" s="166">
        <v>5</v>
      </c>
      <c r="F54" s="166">
        <v>10</v>
      </c>
      <c r="G54" s="166">
        <v>20</v>
      </c>
      <c r="H54" s="166">
        <v>50</v>
      </c>
      <c r="I54" s="166">
        <v>100</v>
      </c>
      <c r="J54" s="166">
        <v>200</v>
      </c>
      <c r="K54" s="166">
        <v>500</v>
      </c>
      <c r="L54" s="192">
        <v>1000</v>
      </c>
      <c r="M54" s="192">
        <v>5000</v>
      </c>
      <c r="N54" s="192">
        <v>10000</v>
      </c>
    </row>
    <row r="55" spans="1:14" x14ac:dyDescent="0.35">
      <c r="A55" s="115" t="s">
        <v>8</v>
      </c>
      <c r="B55" s="123">
        <f>+INDEX('Sabhaya (602)'!$F$64:$F$76,'Regional flood frequency analys'!B198,)</f>
        <v>57.158055267065038</v>
      </c>
      <c r="C55" s="123">
        <f>+INDEX('Sabhaya (602)'!$F$64:$F$76,'Regional flood frequency analys'!C198,)</f>
        <v>213.15253905200939</v>
      </c>
      <c r="D55" s="123">
        <f>+INDEX('Sabhaya (602)'!$F$64:$F$76,'Regional flood frequency analys'!D198,)</f>
        <v>233.97028877787514</v>
      </c>
      <c r="E55" s="123">
        <f>+INDEX('Sabhaya (602)'!$F$64:$F$76,'Regional flood frequency analys'!E198,)</f>
        <v>331.05281186580021</v>
      </c>
      <c r="F55" s="123">
        <f>+INDEX('Sabhaya (602)'!$F$64:$F$76,'Regional flood frequency analys'!F198,)</f>
        <v>416.81317130861322</v>
      </c>
      <c r="G55" s="123">
        <f>+INDEX('Sabhaya (602)'!$F$64:$F$76,'Regional flood frequency analys'!G198,)</f>
        <v>504.12295393693108</v>
      </c>
      <c r="H55" s="123">
        <f>+INDEX('Sabhaya (602)'!$F$64:$F$76,'Regional flood frequency analys'!H198,)</f>
        <v>624.40916039663659</v>
      </c>
      <c r="I55" s="123">
        <f>+INDEX('Sabhaya (602)'!$F$64:$F$76,'Regional flood frequency analys'!I198,)</f>
        <v>720.1318268818294</v>
      </c>
      <c r="J55" s="123">
        <f>+INDEX('Sabhaya (602)'!$F$64:$F$76,'Regional flood frequency analys'!J198,)</f>
        <v>820.5314170936748</v>
      </c>
      <c r="K55" s="123">
        <f>+INDEX('Sabhaya (602)'!$F$64:$F$76,'Regional flood frequency analys'!K198,)</f>
        <v>961.1266916405807</v>
      </c>
      <c r="L55" s="123">
        <f>+INDEX('Sabhaya (602)'!$F$64:$F$76,'Regional flood frequency analys'!L198,)</f>
        <v>1073.8842560568332</v>
      </c>
      <c r="M55" s="123">
        <f>+INDEX('Sabhaya (602)'!$F$64:$F$76,'Regional flood frequency analys'!M198,)</f>
        <v>1358.7786505301519</v>
      </c>
      <c r="N55" s="123">
        <f>+INDEX('Sabhaya (602)'!$F$64:$F$76,'Regional flood frequency analys'!N198,)</f>
        <v>1492.0930645913115</v>
      </c>
    </row>
    <row r="56" spans="1:14" x14ac:dyDescent="0.35">
      <c r="A56" s="120" t="s">
        <v>9</v>
      </c>
      <c r="B56" s="124">
        <f>+INDEX('Sabhaya (602)'!$I$64:$I$76,'Regional flood frequency analys'!B198,)</f>
        <v>63.909732208790039</v>
      </c>
      <c r="C56" s="124">
        <f>+INDEX('Sabhaya (602)'!$I$64:$I$76,'Regional flood frequency analys'!C198,)</f>
        <v>208.72311928241675</v>
      </c>
      <c r="D56" s="124">
        <f>+INDEX('Sabhaya (602)'!$I$64:$I$76,'Regional flood frequency analys'!D198,)</f>
        <v>229.19227819315168</v>
      </c>
      <c r="E56" s="124">
        <f>+INDEX('Sabhaya (602)'!$I$64:$I$76,'Regional flood frequency analys'!E198,)</f>
        <v>328.61695761715146</v>
      </c>
      <c r="F56" s="124">
        <f>+INDEX('Sabhaya (602)'!$I$64:$I$76,'Regional flood frequency analys'!F198,)</f>
        <v>421.81397434430409</v>
      </c>
      <c r="G56" s="124">
        <f>+INDEX('Sabhaya (602)'!$I$64:$I$76,'Regional flood frequency analys'!G198,)</f>
        <v>521.7221182634928</v>
      </c>
      <c r="H56" s="124">
        <f>+INDEX('Sabhaya (602)'!$I$64:$I$76,'Regional flood frequency analys'!H198,)</f>
        <v>667.3998086767142</v>
      </c>
      <c r="I56" s="124">
        <f>+INDEX('Sabhaya (602)'!$I$64:$I$76,'Regional flood frequency analys'!I198,)</f>
        <v>789.77090878732395</v>
      </c>
      <c r="J56" s="124">
        <f>+INDEX('Sabhaya (602)'!$I$64:$I$76,'Regional flood frequency analys'!J198,)</f>
        <v>924.07362705970502</v>
      </c>
      <c r="K56" s="124">
        <f>+INDEX('Sabhaya (602)'!$I$64:$I$76,'Regional flood frequency analys'!K198,)</f>
        <v>1122.1056650270341</v>
      </c>
      <c r="L56" s="124">
        <f>+INDEX('Sabhaya (602)'!$I$64:$I$76,'Regional flood frequency analys'!L198,)</f>
        <v>1289.1112224289388</v>
      </c>
      <c r="M56" s="124">
        <f>+INDEX('Sabhaya (602)'!$I$64:$I$76,'Regional flood frequency analys'!M198,)</f>
        <v>1742.4704713500792</v>
      </c>
      <c r="N56" s="124">
        <f>+INDEX('Sabhaya (602)'!$I$64:$I$76,'Regional flood frequency analys'!N198,)</f>
        <v>1969.6530292179168</v>
      </c>
    </row>
    <row r="57" spans="1:14" x14ac:dyDescent="0.35">
      <c r="A57" s="115" t="s">
        <v>7</v>
      </c>
      <c r="B57" s="123" t="s">
        <v>73</v>
      </c>
      <c r="C57" s="123">
        <f>+INDEX('Sabhaya (602)'!$K$64:$K$76,'Regional flood frequency analys'!C198,)</f>
        <v>222.04711906078251</v>
      </c>
      <c r="D57" s="123">
        <f>+INDEX('Sabhaya (602)'!$K$64:$K$76,'Regional flood frequency analys'!D198,)</f>
        <v>244.40554609037258</v>
      </c>
      <c r="E57" s="123">
        <f>+INDEX('Sabhaya (602)'!$K$64:$K$76,'Regional flood frequency analys'!E198,)</f>
        <v>341.54069127328745</v>
      </c>
      <c r="F57" s="123">
        <f>+INDEX('Sabhaya (602)'!$K$64:$K$76,'Regional flood frequency analys'!F198,)</f>
        <v>420.65583355675994</v>
      </c>
      <c r="G57" s="123">
        <f>+INDEX('Sabhaya (602)'!$K$64:$K$76,'Regional flood frequency analys'!G198,)</f>
        <v>496.54497747481309</v>
      </c>
      <c r="H57" s="123">
        <f>+INDEX('Sabhaya (602)'!$K$64:$K$76,'Regional flood frequency analys'!H198,)</f>
        <v>594.77569000721576</v>
      </c>
      <c r="I57" s="123">
        <f>+INDEX('Sabhaya (602)'!$K$64:$K$76,'Regional flood frequency analys'!I198,)</f>
        <v>668.38578589865574</v>
      </c>
      <c r="J57" s="123">
        <f>+INDEX('Sabhaya (602)'!$K$64:$K$76,'Regional flood frequency analys'!J198,)</f>
        <v>741.72729091500298</v>
      </c>
      <c r="K57" s="123">
        <f>+INDEX('Sabhaya (602)'!$K$64:$K$76,'Regional flood frequency analys'!K198,)</f>
        <v>838.4874803494647</v>
      </c>
      <c r="L57" s="123">
        <f>+INDEX('Sabhaya (602)'!$K$64:$K$76,'Regional flood frequency analys'!L198,)</f>
        <v>911.61653886747706</v>
      </c>
      <c r="M57" s="123">
        <f>+INDEX('Sabhaya (602)'!$K$64:$K$76,'Regional flood frequency analys'!M198,)</f>
        <v>1081.3365962877986</v>
      </c>
      <c r="N57" s="123">
        <f>+INDEX('Sabhaya (602)'!$K$64:$K$76,'Regional flood frequency analys'!N198,)</f>
        <v>1154.4181474272866</v>
      </c>
    </row>
    <row r="58" spans="1:14" ht="15.75" customHeight="1" x14ac:dyDescent="0.35">
      <c r="A58" s="118"/>
      <c r="B58" s="114"/>
      <c r="C58" s="113"/>
      <c r="E58" s="113"/>
      <c r="F58" s="113"/>
      <c r="G58" s="113"/>
      <c r="H58" s="113"/>
      <c r="I58" s="113"/>
      <c r="J58" s="113"/>
      <c r="K58" s="113"/>
      <c r="L58" s="113"/>
      <c r="M58" s="114"/>
      <c r="N58" s="111"/>
    </row>
    <row r="59" spans="1:14" ht="15.75" customHeight="1" x14ac:dyDescent="0.35">
      <c r="A59" s="118"/>
      <c r="B59" s="114"/>
      <c r="C59" s="114"/>
      <c r="E59" s="114"/>
      <c r="F59" s="114"/>
      <c r="G59" s="114"/>
      <c r="H59" s="114"/>
      <c r="I59" s="114"/>
      <c r="J59" s="114"/>
      <c r="K59" s="114"/>
      <c r="L59" s="114"/>
      <c r="M59" s="114"/>
      <c r="N59" s="111"/>
    </row>
    <row r="60" spans="1:14" ht="15.75" customHeight="1" x14ac:dyDescent="0.35">
      <c r="A60" s="118"/>
      <c r="B60" s="114"/>
      <c r="C60" s="114"/>
      <c r="E60" s="114"/>
      <c r="F60" s="114"/>
      <c r="G60" s="114"/>
      <c r="H60" s="114"/>
      <c r="I60" s="114"/>
      <c r="J60" s="114"/>
      <c r="K60" s="114"/>
      <c r="L60" s="114"/>
      <c r="M60" s="114"/>
      <c r="N60" s="111"/>
    </row>
    <row r="61" spans="1:14" ht="15.75" customHeight="1" x14ac:dyDescent="0.35">
      <c r="A61" s="118"/>
      <c r="B61" s="114"/>
      <c r="C61" s="114"/>
      <c r="E61" s="114"/>
      <c r="F61" s="114"/>
      <c r="G61" s="114"/>
      <c r="H61" s="114"/>
      <c r="I61" s="114"/>
      <c r="J61" s="114"/>
      <c r="K61" s="114"/>
      <c r="L61" s="114"/>
      <c r="M61" s="114"/>
      <c r="N61" s="111"/>
    </row>
    <row r="62" spans="1:14" ht="15.75" customHeight="1" x14ac:dyDescent="0.35">
      <c r="A62" s="118"/>
      <c r="B62" s="114"/>
      <c r="C62" s="114"/>
      <c r="E62" s="114"/>
      <c r="F62" s="114"/>
      <c r="G62" s="114"/>
      <c r="H62" s="114"/>
      <c r="I62" s="114"/>
      <c r="J62" s="114"/>
      <c r="K62" s="114"/>
      <c r="L62" s="114"/>
      <c r="M62" s="114"/>
      <c r="N62" s="111"/>
    </row>
    <row r="63" spans="1:14" ht="15.75" customHeight="1" x14ac:dyDescent="0.35">
      <c r="A63" s="118"/>
      <c r="B63" s="114"/>
      <c r="C63" s="114"/>
      <c r="E63" s="114"/>
      <c r="F63" s="114"/>
      <c r="G63" s="114"/>
      <c r="H63" s="114"/>
      <c r="I63" s="114"/>
      <c r="J63" s="114"/>
      <c r="K63" s="114"/>
      <c r="L63" s="114"/>
      <c r="M63" s="114"/>
      <c r="N63" s="111"/>
    </row>
    <row r="64" spans="1:14" ht="15.75" customHeight="1" x14ac:dyDescent="0.35">
      <c r="A64" s="118"/>
      <c r="B64" s="114"/>
      <c r="C64" s="114"/>
      <c r="E64" s="114"/>
      <c r="F64" s="114"/>
      <c r="G64" s="114"/>
      <c r="H64" s="114"/>
      <c r="I64" s="114"/>
      <c r="J64" s="114"/>
      <c r="K64" s="114"/>
      <c r="L64" s="114"/>
      <c r="M64" s="114"/>
      <c r="N64" s="111"/>
    </row>
    <row r="65" spans="1:14" ht="15.75" customHeight="1" x14ac:dyDescent="0.35">
      <c r="A65" s="118"/>
      <c r="B65" s="114"/>
      <c r="C65" s="114"/>
      <c r="E65" s="114"/>
      <c r="F65" s="114"/>
      <c r="G65" s="114"/>
      <c r="H65" s="114"/>
      <c r="I65" s="114"/>
      <c r="J65" s="114"/>
      <c r="K65" s="114"/>
      <c r="L65" s="114"/>
      <c r="M65" s="114"/>
      <c r="N65" s="111"/>
    </row>
    <row r="66" spans="1:14" ht="15.75" customHeight="1" x14ac:dyDescent="0.35">
      <c r="A66" s="118"/>
      <c r="B66" s="114"/>
      <c r="C66" s="114"/>
      <c r="E66" s="114"/>
      <c r="F66" s="114"/>
      <c r="G66" s="114"/>
      <c r="H66" s="114"/>
      <c r="I66" s="114"/>
      <c r="J66" s="114"/>
      <c r="K66" s="114"/>
      <c r="L66" s="114"/>
      <c r="M66" s="114"/>
      <c r="N66" s="111"/>
    </row>
    <row r="67" spans="1:14" ht="15.75" customHeight="1" x14ac:dyDescent="0.35">
      <c r="A67" s="118"/>
      <c r="B67" s="114"/>
      <c r="C67" s="114"/>
      <c r="E67" s="114"/>
      <c r="F67" s="114"/>
      <c r="G67" s="114"/>
      <c r="H67" s="114"/>
      <c r="I67" s="114"/>
      <c r="J67" s="114"/>
      <c r="K67" s="114"/>
      <c r="L67" s="114"/>
      <c r="M67" s="114"/>
      <c r="N67" s="111"/>
    </row>
    <row r="68" spans="1:14" ht="15.75" customHeight="1" x14ac:dyDescent="0.35">
      <c r="A68" s="118"/>
      <c r="B68" s="114"/>
      <c r="C68" s="114"/>
      <c r="E68" s="114"/>
      <c r="F68" s="114"/>
      <c r="G68" s="114"/>
      <c r="H68" s="114"/>
      <c r="I68" s="114"/>
      <c r="J68" s="114"/>
      <c r="K68" s="114"/>
      <c r="L68" s="114"/>
      <c r="M68" s="114"/>
      <c r="N68" s="111"/>
    </row>
    <row r="69" spans="1:14" ht="15.75" customHeight="1" x14ac:dyDescent="0.35">
      <c r="A69" s="118"/>
      <c r="B69" s="114"/>
      <c r="C69" s="114"/>
      <c r="E69" s="114"/>
      <c r="F69" s="114"/>
      <c r="G69" s="114"/>
      <c r="H69" s="114"/>
      <c r="I69" s="114"/>
      <c r="J69" s="114"/>
      <c r="K69" s="114"/>
      <c r="L69" s="114"/>
      <c r="M69" s="114"/>
      <c r="N69" s="111"/>
    </row>
    <row r="70" spans="1:14" ht="15.75" customHeight="1" x14ac:dyDescent="0.35">
      <c r="A70" s="118"/>
      <c r="B70" s="114"/>
      <c r="C70" s="114"/>
      <c r="E70" s="114"/>
      <c r="F70" s="114"/>
      <c r="G70" s="114"/>
      <c r="H70" s="114"/>
      <c r="I70" s="114"/>
      <c r="J70" s="114"/>
      <c r="K70" s="114"/>
      <c r="L70" s="114"/>
      <c r="M70" s="114"/>
      <c r="N70" s="111"/>
    </row>
    <row r="71" spans="1:14" ht="15.75" customHeight="1" x14ac:dyDescent="0.35">
      <c r="A71" s="118"/>
      <c r="B71" s="114"/>
      <c r="C71" s="114"/>
      <c r="E71" s="114"/>
      <c r="F71" s="114"/>
      <c r="G71" s="114"/>
      <c r="H71" s="114"/>
      <c r="I71" s="114"/>
      <c r="J71" s="114"/>
      <c r="K71" s="114"/>
      <c r="L71" s="114"/>
      <c r="M71" s="114"/>
      <c r="N71" s="111"/>
    </row>
    <row r="72" spans="1:14" ht="15.75" customHeight="1" x14ac:dyDescent="0.35">
      <c r="A72" s="118"/>
      <c r="B72" s="114"/>
      <c r="C72" s="114"/>
      <c r="E72" s="114"/>
      <c r="F72" s="114"/>
      <c r="G72" s="114"/>
      <c r="H72" s="114"/>
      <c r="I72" s="114"/>
      <c r="J72" s="114"/>
      <c r="K72" s="114"/>
      <c r="L72" s="114"/>
      <c r="M72" s="114"/>
      <c r="N72" s="111"/>
    </row>
    <row r="73" spans="1:14" ht="15.75" customHeight="1" x14ac:dyDescent="0.35">
      <c r="A73" s="118"/>
      <c r="B73" s="114"/>
      <c r="C73" s="114"/>
      <c r="E73" s="114"/>
      <c r="F73" s="114"/>
      <c r="G73" s="114"/>
      <c r="H73" s="114"/>
      <c r="I73" s="114"/>
      <c r="J73" s="114"/>
      <c r="K73" s="114"/>
      <c r="L73" s="114"/>
      <c r="M73" s="114"/>
      <c r="N73" s="111"/>
    </row>
    <row r="74" spans="1:14" ht="15.75" customHeight="1" x14ac:dyDescent="0.35">
      <c r="A74" s="118"/>
      <c r="B74" s="114"/>
      <c r="C74" s="114"/>
      <c r="E74" s="114"/>
      <c r="F74" s="114"/>
      <c r="G74" s="114"/>
      <c r="H74" s="114"/>
      <c r="I74" s="114"/>
      <c r="J74" s="114"/>
      <c r="K74" s="114"/>
      <c r="L74" s="114"/>
      <c r="M74" s="114"/>
      <c r="N74" s="111"/>
    </row>
    <row r="75" spans="1:14" ht="15.75" customHeight="1" x14ac:dyDescent="0.35">
      <c r="A75" s="118"/>
      <c r="B75" s="114"/>
      <c r="C75" s="114"/>
      <c r="E75" s="114"/>
      <c r="F75" s="114"/>
      <c r="G75" s="114"/>
      <c r="H75" s="114"/>
      <c r="I75" s="114"/>
      <c r="J75" s="114"/>
      <c r="K75" s="114"/>
      <c r="L75" s="114"/>
      <c r="M75" s="114"/>
      <c r="N75" s="111"/>
    </row>
    <row r="76" spans="1:14" x14ac:dyDescent="0.35">
      <c r="A76" s="112" t="s">
        <v>258</v>
      </c>
      <c r="B76" s="114"/>
      <c r="C76" s="117"/>
      <c r="E76" s="117"/>
      <c r="F76" s="117"/>
      <c r="G76" s="117"/>
      <c r="H76" s="117"/>
      <c r="I76" s="117"/>
      <c r="J76" s="117"/>
      <c r="K76" s="117"/>
      <c r="L76" s="117"/>
      <c r="M76" s="114"/>
      <c r="N76" s="111"/>
    </row>
    <row r="77" spans="1:14" x14ac:dyDescent="0.35">
      <c r="B77" s="118"/>
      <c r="C77" s="118"/>
      <c r="E77" s="118"/>
      <c r="F77" s="118"/>
      <c r="G77" s="118"/>
      <c r="H77" s="118"/>
      <c r="I77" s="118"/>
      <c r="J77" s="118"/>
      <c r="K77" s="118"/>
      <c r="L77" s="118"/>
      <c r="M77" s="117"/>
      <c r="N77" s="111"/>
    </row>
    <row r="78" spans="1:14" x14ac:dyDescent="0.35">
      <c r="A78" s="330" t="s">
        <v>0</v>
      </c>
      <c r="B78" s="351" t="s">
        <v>1</v>
      </c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</row>
    <row r="79" spans="1:14" x14ac:dyDescent="0.35">
      <c r="A79" s="331"/>
      <c r="B79" s="166">
        <v>1</v>
      </c>
      <c r="C79" s="166">
        <v>2</v>
      </c>
      <c r="D79" s="166">
        <v>2.33</v>
      </c>
      <c r="E79" s="166">
        <v>5</v>
      </c>
      <c r="F79" s="166">
        <v>10</v>
      </c>
      <c r="G79" s="166">
        <v>20</v>
      </c>
      <c r="H79" s="166">
        <v>50</v>
      </c>
      <c r="I79" s="166">
        <v>100</v>
      </c>
      <c r="J79" s="166">
        <v>200</v>
      </c>
      <c r="K79" s="166">
        <v>500</v>
      </c>
      <c r="L79" s="163">
        <v>1000</v>
      </c>
      <c r="M79" s="192">
        <v>5000</v>
      </c>
      <c r="N79" s="192">
        <v>10000</v>
      </c>
    </row>
    <row r="80" spans="1:14" x14ac:dyDescent="0.35">
      <c r="A80" s="312" t="s">
        <v>8</v>
      </c>
      <c r="B80" s="119">
        <f>+INDEX('Hinwa (602.5)'!$F$63:$F$75,B198,)</f>
        <v>15.951153579774674</v>
      </c>
      <c r="C80" s="119">
        <f>+INDEX('Hinwa (602.5)'!$F$63:$F$75,C198,)</f>
        <v>42.577130397333633</v>
      </c>
      <c r="D80" s="119">
        <f>+INDEX('Hinwa (602.5)'!$F$63:$F$75,D198,)</f>
        <v>45.641971161295515</v>
      </c>
      <c r="E80" s="119">
        <f>+INDEX('Hinwa (602.5)'!$F$63:$F$75,E198,)</f>
        <v>59.129413881409512</v>
      </c>
      <c r="F80" s="119">
        <f>+INDEX('Hinwa (602.5)'!$F$63:$F$75,F198,)</f>
        <v>70.214963872933595</v>
      </c>
      <c r="G80" s="119">
        <f>+INDEX('Hinwa (602.5)'!$F$63:$F$75,G198,)</f>
        <v>80.917029594133382</v>
      </c>
      <c r="H80" s="119">
        <f>+INDEX('Hinwa (602.5)'!$F$63:$F$75,H198,)</f>
        <v>94.920812244672803</v>
      </c>
      <c r="I80" s="119">
        <f>+INDEX('Hinwa (602.5)'!$F$63:$F$75,I198,)</f>
        <v>105.57631447132336</v>
      </c>
      <c r="J80" s="119">
        <f>+INDEX('Hinwa (602.5)'!$F$63:$F$75,J198,)</f>
        <v>116.37194637625507</v>
      </c>
      <c r="K80" s="119">
        <f>+INDEX('Hinwa (602.5)'!$F$63:$F$75,K198,)</f>
        <v>130.94319439345239</v>
      </c>
      <c r="L80" s="119">
        <f>+INDEX('Hinwa (602.5)'!$F$63:$F$75,L198,)</f>
        <v>142.23928486266499</v>
      </c>
      <c r="M80" s="119">
        <f>+INDEX('Hinwa (602.5)'!$F$63:$F$75,M198,)</f>
        <v>169.53026550489457</v>
      </c>
      <c r="N80" s="119">
        <f>+INDEX('Hinwa (602.5)'!$F$63:$F$75,N198,)</f>
        <v>181.78886327982059</v>
      </c>
    </row>
    <row r="81" spans="1:14" x14ac:dyDescent="0.35">
      <c r="A81" s="312" t="s">
        <v>9</v>
      </c>
      <c r="B81" s="119">
        <f>+INDEX('Hinwa (602.5)'!$I$63:$I$75,B198,)</f>
        <v>12.825804868029152</v>
      </c>
      <c r="C81" s="119">
        <f>+INDEX('Hinwa (602.5)'!$I$63:$I$75,C198,)</f>
        <v>44.344889420037198</v>
      </c>
      <c r="D81" s="119">
        <f>+INDEX('Hinwa (602.5)'!$I$63:$I$75,D198,)</f>
        <v>47.403206648033475</v>
      </c>
      <c r="E81" s="119">
        <f>+INDEX('Hinwa (602.5)'!$I$63:$I$75,E198,)</f>
        <v>59.4543501119458</v>
      </c>
      <c r="F81" s="119">
        <f>+INDEX('Hinwa (602.5)'!$I$63:$I$75,F198,)</f>
        <v>67.856742666381422</v>
      </c>
      <c r="G81" s="119">
        <f>+INDEX('Hinwa (602.5)'!$I$63:$I$75,G198,)</f>
        <v>74.906371941649638</v>
      </c>
      <c r="H81" s="119">
        <f>+INDEX('Hinwa (602.5)'!$I$63:$I$75,H198,)</f>
        <v>82.836814689646829</v>
      </c>
      <c r="I81" s="119">
        <f>+INDEX('Hinwa (602.5)'!$I$63:$I$75,I198,)</f>
        <v>88.059088017740635</v>
      </c>
      <c r="J81" s="119">
        <f>+INDEX('Hinwa (602.5)'!$I$63:$I$75,J198,)</f>
        <v>92.755247904493885</v>
      </c>
      <c r="K81" s="119">
        <f>+INDEX('Hinwa (602.5)'!$I$63:$I$75,K198,)</f>
        <v>98.298929341233631</v>
      </c>
      <c r="L81" s="119">
        <f>+INDEX('Hinwa (602.5)'!$I$63:$I$75,L198,)</f>
        <v>102.06810674481247</v>
      </c>
      <c r="M81" s="119">
        <f>+INDEX('Hinwa (602.5)'!$I$63:$I$75,M198,)</f>
        <v>109.66579975735466</v>
      </c>
      <c r="N81" s="119">
        <f>+INDEX('Hinwa (602.5)'!$I$63:$I$75,N198,)</f>
        <v>112.51686246532758</v>
      </c>
    </row>
    <row r="82" spans="1:14" x14ac:dyDescent="0.35">
      <c r="A82" s="313" t="s">
        <v>7</v>
      </c>
      <c r="B82" s="122" t="s">
        <v>73</v>
      </c>
      <c r="C82" s="122">
        <f>+INDEX('Hinwa (602.5)'!$K$63:$K$75,C198,)</f>
        <v>42.938933036017502</v>
      </c>
      <c r="D82" s="122">
        <f>+INDEX('Hinwa (602.5)'!$K$63:$K$75,D198,)</f>
        <v>45.59637317870736</v>
      </c>
      <c r="E82" s="122">
        <f>+INDEX('Hinwa (602.5)'!$K$63:$K$75,E198,)</f>
        <v>57.141498143601538</v>
      </c>
      <c r="F82" s="122">
        <f>+INDEX('Hinwa (602.5)'!$K$63:$K$75,F198,)</f>
        <v>66.544832050788926</v>
      </c>
      <c r="G82" s="122">
        <f>+INDEX('Hinwa (602.5)'!$K$63:$K$75,G198,)</f>
        <v>75.564735694963105</v>
      </c>
      <c r="H82" s="122">
        <f>+INDEX('Hinwa (602.5)'!$K$63:$K$75,H198,)</f>
        <v>87.240075752792762</v>
      </c>
      <c r="I82" s="122">
        <f>+INDEX('Hinwa (602.5)'!$K$63:$K$75,I198,)</f>
        <v>95.98910015733955</v>
      </c>
      <c r="J82" s="122">
        <f>+INDEX('Hinwa (602.5)'!$K$63:$K$75,J198,)</f>
        <v>104.70620084147045</v>
      </c>
      <c r="K82" s="122">
        <f>+INDEX('Hinwa (602.5)'!$K$63:$K$75,K198,)</f>
        <v>116.20675994954684</v>
      </c>
      <c r="L82" s="122">
        <f>+INDEX('Hinwa (602.5)'!$K$63:$K$75,L198,)</f>
        <v>124.89861002673202</v>
      </c>
      <c r="M82" s="122">
        <f>+INDEX('Hinwa (602.5)'!$K$63:$K$75,M198,)</f>
        <v>145.07090984959029</v>
      </c>
      <c r="N82" s="122">
        <f>+INDEX('Hinwa (602.5)'!$K$63:$K$75,N198,)</f>
        <v>153.75711337504814</v>
      </c>
    </row>
    <row r="83" spans="1:14" x14ac:dyDescent="0.35">
      <c r="A83" s="126"/>
      <c r="B83" s="118"/>
      <c r="C83" s="118"/>
      <c r="E83" s="117"/>
      <c r="F83" s="117"/>
      <c r="G83" s="117"/>
      <c r="I83" s="117"/>
      <c r="J83" s="117"/>
      <c r="K83" s="117"/>
      <c r="L83" s="117"/>
      <c r="M83" s="125"/>
      <c r="N83" s="111"/>
    </row>
    <row r="84" spans="1:14" x14ac:dyDescent="0.35">
      <c r="A84" s="127"/>
      <c r="B84" s="118"/>
      <c r="C84" s="117"/>
      <c r="E84" s="117"/>
      <c r="F84" s="117"/>
      <c r="G84" s="117"/>
      <c r="I84" s="117"/>
      <c r="J84" s="117"/>
      <c r="K84" s="117"/>
      <c r="L84" s="117"/>
      <c r="M84" s="125"/>
      <c r="N84" s="111"/>
    </row>
    <row r="85" spans="1:14" x14ac:dyDescent="0.35">
      <c r="A85" s="127"/>
      <c r="B85" s="118"/>
      <c r="C85" s="117"/>
      <c r="E85" s="117"/>
      <c r="F85" s="117"/>
      <c r="G85" s="117"/>
      <c r="I85" s="117"/>
      <c r="J85" s="117"/>
      <c r="K85" s="117"/>
      <c r="L85" s="117"/>
      <c r="M85" s="125"/>
      <c r="N85" s="111"/>
    </row>
    <row r="86" spans="1:14" x14ac:dyDescent="0.35">
      <c r="A86" s="127"/>
      <c r="B86" s="118"/>
      <c r="C86" s="117"/>
      <c r="E86" s="117"/>
      <c r="F86" s="117"/>
      <c r="G86" s="117"/>
      <c r="I86" s="117"/>
      <c r="J86" s="117"/>
      <c r="K86" s="117"/>
      <c r="L86" s="117"/>
      <c r="M86" s="125"/>
      <c r="N86" s="111"/>
    </row>
    <row r="87" spans="1:14" x14ac:dyDescent="0.35">
      <c r="A87" s="127"/>
      <c r="B87" s="118"/>
      <c r="C87" s="117"/>
      <c r="E87" s="117"/>
      <c r="F87" s="117"/>
      <c r="G87" s="117"/>
      <c r="I87" s="117"/>
      <c r="J87" s="117"/>
      <c r="K87" s="117"/>
      <c r="L87" s="117"/>
      <c r="M87" s="125"/>
      <c r="N87" s="111"/>
    </row>
    <row r="88" spans="1:14" x14ac:dyDescent="0.35">
      <c r="A88" s="127"/>
      <c r="B88" s="118"/>
      <c r="C88" s="117"/>
      <c r="E88" s="117"/>
      <c r="F88" s="117"/>
      <c r="G88" s="117"/>
      <c r="I88" s="117"/>
      <c r="J88" s="117"/>
      <c r="K88" s="117"/>
      <c r="L88" s="117"/>
      <c r="M88" s="125"/>
      <c r="N88" s="111"/>
    </row>
    <row r="89" spans="1:14" x14ac:dyDescent="0.35">
      <c r="A89" s="127"/>
      <c r="B89" s="118"/>
      <c r="C89" s="117"/>
      <c r="E89" s="117"/>
      <c r="F89" s="117"/>
      <c r="G89" s="117"/>
      <c r="I89" s="117"/>
      <c r="J89" s="117"/>
      <c r="K89" s="117"/>
      <c r="L89" s="117"/>
      <c r="M89" s="125"/>
      <c r="N89" s="111"/>
    </row>
    <row r="90" spans="1:14" x14ac:dyDescent="0.35">
      <c r="A90" s="127"/>
      <c r="B90" s="118"/>
      <c r="C90" s="117"/>
      <c r="E90" s="117"/>
      <c r="F90" s="117"/>
      <c r="G90" s="117"/>
      <c r="I90" s="117"/>
      <c r="J90" s="117"/>
      <c r="K90" s="117"/>
      <c r="L90" s="117"/>
      <c r="M90" s="125"/>
      <c r="N90" s="111"/>
    </row>
    <row r="91" spans="1:14" x14ac:dyDescent="0.35">
      <c r="A91" s="127"/>
      <c r="B91" s="118"/>
      <c r="C91" s="117"/>
      <c r="E91" s="117"/>
      <c r="F91" s="117"/>
      <c r="G91" s="117"/>
      <c r="I91" s="117"/>
      <c r="J91" s="117"/>
      <c r="K91" s="117"/>
      <c r="L91" s="117"/>
      <c r="M91" s="125"/>
      <c r="N91" s="111"/>
    </row>
    <row r="92" spans="1:14" x14ac:dyDescent="0.35">
      <c r="A92" s="127"/>
      <c r="B92" s="118"/>
      <c r="C92" s="117"/>
      <c r="E92" s="117"/>
      <c r="F92" s="117"/>
      <c r="G92" s="117"/>
      <c r="I92" s="117"/>
      <c r="J92" s="117"/>
      <c r="K92" s="117"/>
      <c r="L92" s="117"/>
      <c r="M92" s="125"/>
      <c r="N92" s="111"/>
    </row>
    <row r="93" spans="1:14" x14ac:dyDescent="0.35">
      <c r="A93" s="127"/>
      <c r="B93" s="118"/>
      <c r="C93" s="117"/>
      <c r="E93" s="117"/>
      <c r="F93" s="117"/>
      <c r="G93" s="117"/>
      <c r="I93" s="117"/>
      <c r="J93" s="117"/>
      <c r="K93" s="117"/>
      <c r="L93" s="117"/>
      <c r="M93" s="125"/>
      <c r="N93" s="111"/>
    </row>
    <row r="94" spans="1:14" x14ac:dyDescent="0.35">
      <c r="A94" s="127"/>
      <c r="B94" s="118"/>
      <c r="C94" s="117"/>
      <c r="E94" s="117"/>
      <c r="F94" s="117"/>
      <c r="G94" s="117"/>
      <c r="I94" s="117"/>
      <c r="J94" s="117"/>
      <c r="K94" s="117"/>
      <c r="L94" s="117"/>
      <c r="M94" s="125"/>
      <c r="N94" s="111"/>
    </row>
    <row r="95" spans="1:14" x14ac:dyDescent="0.35">
      <c r="A95" s="127"/>
      <c r="B95" s="118"/>
      <c r="C95" s="117"/>
      <c r="E95" s="117"/>
      <c r="F95" s="117"/>
      <c r="G95" s="117"/>
      <c r="I95" s="117"/>
      <c r="J95" s="117"/>
      <c r="K95" s="117"/>
      <c r="L95" s="117"/>
      <c r="M95" s="125"/>
      <c r="N95" s="111"/>
    </row>
    <row r="96" spans="1:14" x14ac:dyDescent="0.35">
      <c r="A96" s="127"/>
      <c r="B96" s="118"/>
      <c r="C96" s="117"/>
      <c r="E96" s="117"/>
      <c r="F96" s="117"/>
      <c r="G96" s="117"/>
      <c r="I96" s="117"/>
      <c r="J96" s="117"/>
      <c r="K96" s="117"/>
      <c r="L96" s="117"/>
      <c r="M96" s="125"/>
      <c r="N96" s="111"/>
    </row>
    <row r="97" spans="1:14" x14ac:dyDescent="0.35">
      <c r="A97" s="127"/>
      <c r="B97" s="118"/>
      <c r="C97" s="117"/>
      <c r="E97" s="117"/>
      <c r="F97" s="117"/>
      <c r="G97" s="117"/>
      <c r="I97" s="117"/>
      <c r="J97" s="117"/>
      <c r="K97" s="117"/>
      <c r="L97" s="117"/>
      <c r="M97" s="125"/>
      <c r="N97" s="111"/>
    </row>
    <row r="98" spans="1:14" x14ac:dyDescent="0.35">
      <c r="B98" s="114"/>
      <c r="C98" s="117"/>
      <c r="E98" s="117"/>
      <c r="F98" s="117"/>
      <c r="G98" s="117"/>
      <c r="H98" s="118"/>
      <c r="I98" s="117"/>
      <c r="J98" s="117"/>
      <c r="K98" s="117"/>
      <c r="L98" s="117"/>
      <c r="M98" s="125"/>
      <c r="N98" s="111"/>
    </row>
    <row r="99" spans="1:14" x14ac:dyDescent="0.35">
      <c r="A99" s="112" t="s">
        <v>259</v>
      </c>
      <c r="B99" s="114"/>
      <c r="C99" s="117"/>
      <c r="E99" s="117"/>
      <c r="F99" s="117"/>
      <c r="G99" s="117"/>
      <c r="H99" s="118"/>
      <c r="I99" s="117"/>
      <c r="J99" s="117"/>
      <c r="K99" s="117"/>
      <c r="L99" s="117"/>
      <c r="M99" s="125"/>
      <c r="N99" s="111"/>
    </row>
    <row r="100" spans="1:14" x14ac:dyDescent="0.35">
      <c r="B100" s="118"/>
      <c r="C100" s="118"/>
      <c r="E100" s="118"/>
      <c r="F100" s="118"/>
      <c r="G100" s="118"/>
      <c r="H100" s="118"/>
      <c r="I100" s="118"/>
      <c r="J100" s="118"/>
      <c r="K100" s="118"/>
      <c r="L100" s="118"/>
      <c r="M100" s="125"/>
      <c r="N100" s="111"/>
    </row>
    <row r="101" spans="1:14" x14ac:dyDescent="0.35">
      <c r="A101" s="330" t="s">
        <v>0</v>
      </c>
      <c r="B101" s="332" t="s">
        <v>1</v>
      </c>
      <c r="C101" s="333"/>
      <c r="D101" s="333"/>
      <c r="E101" s="333"/>
      <c r="F101" s="333"/>
      <c r="G101" s="333"/>
      <c r="H101" s="333"/>
      <c r="I101" s="333"/>
      <c r="J101" s="333"/>
      <c r="K101" s="333"/>
      <c r="L101" s="333"/>
      <c r="M101" s="333"/>
      <c r="N101" s="333"/>
    </row>
    <row r="102" spans="1:14" x14ac:dyDescent="0.35">
      <c r="A102" s="331"/>
      <c r="B102" s="166">
        <v>1</v>
      </c>
      <c r="C102" s="166">
        <v>2</v>
      </c>
      <c r="D102" s="166">
        <v>2.33</v>
      </c>
      <c r="E102" s="166">
        <v>5</v>
      </c>
      <c r="F102" s="166">
        <v>10</v>
      </c>
      <c r="G102" s="166">
        <v>20</v>
      </c>
      <c r="H102" s="166">
        <v>50</v>
      </c>
      <c r="I102" s="166">
        <v>100</v>
      </c>
      <c r="J102" s="166">
        <v>200</v>
      </c>
      <c r="K102" s="166">
        <v>500</v>
      </c>
      <c r="L102" s="163">
        <v>1000</v>
      </c>
      <c r="M102" s="192">
        <v>5000</v>
      </c>
      <c r="N102" s="192">
        <v>10000</v>
      </c>
    </row>
    <row r="103" spans="1:14" x14ac:dyDescent="0.35">
      <c r="A103" s="115" t="s">
        <v>8</v>
      </c>
      <c r="B103" s="123">
        <f>+INDEX('Arun River at Turkeghat (604.5)'!$F$55:$F$67,'Regional flood frequency analys'!B198,)</f>
        <v>1264.0411211807627</v>
      </c>
      <c r="C103" s="123">
        <f>+INDEX('Arun River at Turkeghat (604.5)'!$F$55:$F$67,'Regional flood frequency analys'!C198,)</f>
        <v>2843.0881875132391</v>
      </c>
      <c r="D103" s="123">
        <f>+INDEX('Arun River at Turkeghat (604.5)'!$F$55:$F$67,'Regional flood frequency analys'!D198,)</f>
        <v>3011.0224291771879</v>
      </c>
      <c r="E103" s="123">
        <f>+INDEX('Arun River at Turkeghat (604.5)'!$F$55:$F$67,'Regional flood frequency analys'!E198,)</f>
        <v>3728.5968585209721</v>
      </c>
      <c r="F103" s="123">
        <f>+INDEX('Arun River at Turkeghat (604.5)'!$F$55:$F$67,'Regional flood frequency analys'!F198,)</f>
        <v>4296.925608290333</v>
      </c>
      <c r="G103" s="123">
        <f>+INDEX('Arun River at Turkeghat (604.5)'!$F$55:$F$67,'Regional flood frequency analys'!G198,)</f>
        <v>4830.8568187083038</v>
      </c>
      <c r="H103" s="123">
        <f>+INDEX('Arun River at Turkeghat (604.5)'!$F$55:$F$67,'Regional flood frequency analys'!H198,)</f>
        <v>5511.3377307575402</v>
      </c>
      <c r="I103" s="123">
        <f>+INDEX('Arun River at Turkeghat (604.5)'!$F$55:$F$67,'Regional flood frequency analys'!I198,)</f>
        <v>6017.3405872898466</v>
      </c>
      <c r="J103" s="123">
        <f>+INDEX('Arun River at Turkeghat (604.5)'!$F$55:$F$67,'Regional flood frequency analys'!J198,)</f>
        <v>6520.9830150438675</v>
      </c>
      <c r="K103" s="123">
        <f>+INDEX('Arun River at Turkeghat (604.5)'!$F$55:$F$67,'Regional flood frequency analys'!K198,)</f>
        <v>7188.083843681321</v>
      </c>
      <c r="L103" s="123">
        <f>+INDEX('Arun River at Turkeghat (604.5)'!$F$55:$F$67,'Regional flood frequency analys'!L198,)</f>
        <v>7696.3169096009533</v>
      </c>
      <c r="M103" s="123">
        <f>+INDEX('Arun River at Turkeghat (604.5)'!$F$55:$F$67,'Regional flood frequency analys'!M198,)</f>
        <v>8896.4682934901903</v>
      </c>
      <c r="N103" s="123">
        <f>+INDEX('Arun River at Turkeghat (604.5)'!$F$55:$F$67,'Regional flood frequency analys'!N198,)</f>
        <v>9424.3259575007178</v>
      </c>
    </row>
    <row r="104" spans="1:14" x14ac:dyDescent="0.35">
      <c r="A104" s="120" t="s">
        <v>9</v>
      </c>
      <c r="B104" s="124">
        <f>+INDEX('Arun River at Turkeghat (604.5)'!$I$55:$I$67,'Regional flood frequency analys'!B198,)</f>
        <v>1374.5939705101855</v>
      </c>
      <c r="C104" s="124">
        <f>+INDEX('Arun River at Turkeghat (604.5)'!$I$55:$I$67,'Regional flood frequency analys'!C198,)</f>
        <v>2798.584155022234</v>
      </c>
      <c r="D104" s="124">
        <f>+INDEX('Arun River at Turkeghat (604.5)'!$I$55:$I$67,'Regional flood frequency analys'!D198,)</f>
        <v>2964.5585453983908</v>
      </c>
      <c r="E104" s="124">
        <f>+INDEX('Arun River at Turkeghat (604.5)'!$I$55:$I$67,'Regional flood frequency analys'!E198,)</f>
        <v>3707.1927614848119</v>
      </c>
      <c r="F104" s="124">
        <f>+INDEX('Arun River at Turkeghat (604.5)'!$I$55:$I$67,'Regional flood frequency analys'!F198,)</f>
        <v>4334.4680606506599</v>
      </c>
      <c r="G104" s="124">
        <f>+INDEX('Arun River at Turkeghat (604.5)'!$I$55:$I$67,'Regional flood frequency analys'!G198,)</f>
        <v>4955.7672728051257</v>
      </c>
      <c r="H104" s="124">
        <f>+INDEX('Arun River at Turkeghat (604.5)'!$I$55:$I$67,'Regional flood frequency analys'!H198,)</f>
        <v>5793.0706203962409</v>
      </c>
      <c r="I104" s="124">
        <f>+INDEX('Arun River at Turkeghat (604.5)'!$I$55:$I$67,'Regional flood frequency analys'!I198,)</f>
        <v>6449.0721459088163</v>
      </c>
      <c r="J104" s="124">
        <f>+INDEX('Arun River at Turkeghat (604.5)'!$I$55:$I$67,'Regional flood frequency analys'!J198,)</f>
        <v>7130.5653035371224</v>
      </c>
      <c r="K104" s="124">
        <f>+INDEX('Arun River at Turkeghat (604.5)'!$I$55:$I$67,'Regional flood frequency analys'!K198,)</f>
        <v>8077.4973906914993</v>
      </c>
      <c r="L104" s="124">
        <f>+INDEX('Arun River at Turkeghat (604.5)'!$I$55:$I$67,'Regional flood frequency analys'!L198,)</f>
        <v>8833.080041107647</v>
      </c>
      <c r="M104" s="124">
        <f>+INDEX('Arun River at Turkeghat (604.5)'!$I$55:$I$67,'Regional flood frequency analys'!M198,)</f>
        <v>10736.078061451466</v>
      </c>
      <c r="N104" s="124">
        <f>+INDEX('Arun River at Turkeghat (604.5)'!$I$55:$I$67,'Regional flood frequency analys'!N198,)</f>
        <v>11626.531655402445</v>
      </c>
    </row>
    <row r="105" spans="1:14" x14ac:dyDescent="0.35">
      <c r="A105" s="115" t="s">
        <v>7</v>
      </c>
      <c r="B105" s="123" t="s">
        <v>73</v>
      </c>
      <c r="C105" s="123">
        <f>+INDEX('Arun River at Turkeghat (604.5)'!$K$55:$K$67,'Regional flood frequency analys'!C198,)</f>
        <v>2825.3623019180159</v>
      </c>
      <c r="D105" s="123">
        <f>+INDEX('Arun River at Turkeghat (604.5)'!$K$55:$K$67,'Regional flood frequency analys'!D198,)</f>
        <v>2995.3354945597016</v>
      </c>
      <c r="E105" s="123">
        <f>+INDEX('Arun River at Turkeghat (604.5)'!$K$55:$K$67,'Regional flood frequency analys'!E198,)</f>
        <v>3733.7761157448676</v>
      </c>
      <c r="F105" s="123">
        <f>+INDEX('Arun River at Turkeghat (604.5)'!$K$55:$K$67,'Regional flood frequency analys'!F198,)</f>
        <v>4335.2251041923164</v>
      </c>
      <c r="G105" s="123">
        <f>+INDEX('Arun River at Turkeghat (604.5)'!$K$55:$K$67,'Regional flood frequency analys'!G198,)</f>
        <v>4912.1494138284379</v>
      </c>
      <c r="H105" s="123">
        <f>+INDEX('Arun River at Turkeghat (604.5)'!$K$55:$K$67,'Regional flood frequency analys'!H198,)</f>
        <v>5658.9187550930619</v>
      </c>
      <c r="I105" s="123">
        <f>+INDEX('Arun River at Turkeghat (604.5)'!$K$55:$K$67,'Regional flood frequency analys'!I198,)</f>
        <v>6218.5172900333837</v>
      </c>
      <c r="J105" s="123">
        <f>+INDEX('Arun River at Turkeghat (604.5)'!$K$55:$K$67,'Regional flood frequency analys'!J198,)</f>
        <v>6776.0739439194822</v>
      </c>
      <c r="K105" s="123">
        <f>+INDEX('Arun River at Turkeghat (604.5)'!$K$55:$K$67,'Regional flood frequency analys'!K198,)</f>
        <v>7511.6640772067476</v>
      </c>
      <c r="L105" s="123">
        <f>+INDEX('Arun River at Turkeghat (604.5)'!$K$55:$K$67,'Regional flood frequency analys'!L198,)</f>
        <v>8067.6056707158459</v>
      </c>
      <c r="M105" s="123">
        <f>+INDEX('Arun River at Turkeghat (604.5)'!$K$55:$K$67,'Regional flood frequency analys'!M198,)</f>
        <v>9357.851177561377</v>
      </c>
      <c r="N105" s="123">
        <f>+INDEX('Arun River at Turkeghat (604.5)'!$K$55:$K$67,'Regional flood frequency analys'!N198,)</f>
        <v>9913.4316105652633</v>
      </c>
    </row>
    <row r="106" spans="1:14" x14ac:dyDescent="0.35">
      <c r="A106" s="118"/>
      <c r="B106" s="117"/>
      <c r="C106" s="117"/>
      <c r="E106" s="117"/>
      <c r="F106" s="117"/>
      <c r="G106" s="117"/>
      <c r="H106" s="117"/>
      <c r="I106" s="117"/>
      <c r="J106" s="117"/>
      <c r="K106" s="117"/>
      <c r="L106" s="117"/>
      <c r="M106" s="125"/>
      <c r="N106" s="111"/>
    </row>
    <row r="107" spans="1:14" x14ac:dyDescent="0.35">
      <c r="A107" s="118"/>
      <c r="B107" s="117"/>
      <c r="C107" s="117"/>
      <c r="E107" s="117"/>
      <c r="F107" s="117"/>
      <c r="G107" s="117"/>
      <c r="H107" s="117"/>
      <c r="I107" s="117"/>
      <c r="J107" s="117"/>
      <c r="K107" s="117"/>
      <c r="L107" s="117"/>
      <c r="M107" s="125"/>
      <c r="N107" s="111"/>
    </row>
    <row r="108" spans="1:14" x14ac:dyDescent="0.35">
      <c r="A108" s="118"/>
      <c r="B108" s="117"/>
      <c r="C108" s="117"/>
      <c r="E108" s="117"/>
      <c r="F108" s="117"/>
      <c r="G108" s="117"/>
      <c r="H108" s="117"/>
      <c r="I108" s="117"/>
      <c r="J108" s="117"/>
      <c r="K108" s="117"/>
      <c r="L108" s="117"/>
      <c r="M108" s="125"/>
      <c r="N108" s="111"/>
    </row>
    <row r="109" spans="1:14" x14ac:dyDescent="0.35">
      <c r="A109" s="118"/>
      <c r="B109" s="117"/>
      <c r="C109" s="117"/>
      <c r="E109" s="117"/>
      <c r="F109" s="117"/>
      <c r="G109" s="117"/>
      <c r="H109" s="117"/>
      <c r="I109" s="117"/>
      <c r="J109" s="117"/>
      <c r="K109" s="117"/>
      <c r="L109" s="117"/>
      <c r="M109" s="125"/>
      <c r="N109" s="111"/>
    </row>
    <row r="110" spans="1:14" x14ac:dyDescent="0.35">
      <c r="A110" s="118"/>
      <c r="B110" s="117"/>
      <c r="C110" s="117"/>
      <c r="E110" s="117"/>
      <c r="F110" s="117"/>
      <c r="G110" s="117"/>
      <c r="H110" s="117"/>
      <c r="I110" s="117"/>
      <c r="J110" s="117"/>
      <c r="K110" s="117"/>
      <c r="L110" s="117"/>
      <c r="M110" s="125"/>
      <c r="N110" s="111"/>
    </row>
    <row r="111" spans="1:14" x14ac:dyDescent="0.35">
      <c r="A111" s="118"/>
      <c r="B111" s="117"/>
      <c r="C111" s="117"/>
      <c r="E111" s="117"/>
      <c r="F111" s="117"/>
      <c r="G111" s="117"/>
      <c r="H111" s="117"/>
      <c r="I111" s="117"/>
      <c r="J111" s="117"/>
      <c r="K111" s="117"/>
      <c r="L111" s="117"/>
      <c r="M111" s="125"/>
      <c r="N111" s="111"/>
    </row>
    <row r="112" spans="1:14" x14ac:dyDescent="0.35">
      <c r="A112" s="118"/>
      <c r="B112" s="117"/>
      <c r="C112" s="117"/>
      <c r="E112" s="117"/>
      <c r="F112" s="117"/>
      <c r="G112" s="117"/>
      <c r="H112" s="117"/>
      <c r="I112" s="117"/>
      <c r="J112" s="117"/>
      <c r="K112" s="117"/>
      <c r="L112" s="117"/>
      <c r="M112" s="125"/>
      <c r="N112" s="111"/>
    </row>
    <row r="113" spans="1:14" x14ac:dyDescent="0.35">
      <c r="A113" s="118"/>
      <c r="B113" s="117"/>
      <c r="C113" s="117"/>
      <c r="E113" s="117"/>
      <c r="F113" s="117"/>
      <c r="G113" s="117"/>
      <c r="H113" s="117"/>
      <c r="I113" s="117"/>
      <c r="J113" s="117"/>
      <c r="K113" s="117"/>
      <c r="L113" s="117"/>
      <c r="M113" s="125"/>
      <c r="N113" s="111"/>
    </row>
    <row r="114" spans="1:14" x14ac:dyDescent="0.35">
      <c r="A114" s="118"/>
      <c r="B114" s="117"/>
      <c r="C114" s="117"/>
      <c r="E114" s="117"/>
      <c r="F114" s="117"/>
      <c r="G114" s="117"/>
      <c r="H114" s="117"/>
      <c r="I114" s="117"/>
      <c r="J114" s="117"/>
      <c r="K114" s="117"/>
      <c r="L114" s="117"/>
      <c r="M114" s="125"/>
      <c r="N114" s="111"/>
    </row>
    <row r="115" spans="1:14" x14ac:dyDescent="0.35">
      <c r="A115" s="118"/>
      <c r="B115" s="117"/>
      <c r="C115" s="117"/>
      <c r="E115" s="117"/>
      <c r="F115" s="117"/>
      <c r="G115" s="117"/>
      <c r="H115" s="117"/>
      <c r="I115" s="117"/>
      <c r="J115" s="117"/>
      <c r="K115" s="117"/>
      <c r="L115" s="117"/>
      <c r="M115" s="125"/>
      <c r="N115" s="111"/>
    </row>
    <row r="116" spans="1:14" x14ac:dyDescent="0.35">
      <c r="A116" s="118"/>
      <c r="B116" s="117"/>
      <c r="C116" s="117"/>
      <c r="E116" s="117"/>
      <c r="F116" s="117"/>
      <c r="G116" s="117"/>
      <c r="H116" s="117"/>
      <c r="I116" s="117"/>
      <c r="J116" s="117"/>
      <c r="K116" s="117"/>
      <c r="L116" s="117"/>
      <c r="M116" s="125"/>
      <c r="N116" s="111"/>
    </row>
    <row r="117" spans="1:14" x14ac:dyDescent="0.35">
      <c r="A117" s="118"/>
      <c r="B117" s="117"/>
      <c r="C117" s="117"/>
      <c r="E117" s="117"/>
      <c r="F117" s="117"/>
      <c r="G117" s="117"/>
      <c r="H117" s="117"/>
      <c r="I117" s="117"/>
      <c r="J117" s="117"/>
      <c r="K117" s="117"/>
      <c r="L117" s="117"/>
      <c r="M117" s="125"/>
      <c r="N117" s="111"/>
    </row>
    <row r="118" spans="1:14" x14ac:dyDescent="0.35">
      <c r="A118" s="118"/>
      <c r="B118" s="117"/>
      <c r="C118" s="117"/>
      <c r="E118" s="117"/>
      <c r="F118" s="117"/>
      <c r="G118" s="117"/>
      <c r="H118" s="117"/>
      <c r="I118" s="117"/>
      <c r="J118" s="117"/>
      <c r="K118" s="117"/>
      <c r="L118" s="117"/>
      <c r="M118" s="125"/>
      <c r="N118" s="111"/>
    </row>
    <row r="119" spans="1:14" x14ac:dyDescent="0.35">
      <c r="A119" s="127"/>
      <c r="B119" s="118"/>
      <c r="C119" s="117"/>
      <c r="E119" s="117"/>
      <c r="F119" s="117"/>
      <c r="G119" s="117"/>
      <c r="H119" s="117"/>
      <c r="I119" s="117"/>
      <c r="J119" s="117"/>
      <c r="K119" s="117"/>
      <c r="L119" s="117"/>
      <c r="M119" s="125"/>
      <c r="N119" s="111"/>
    </row>
    <row r="120" spans="1:14" x14ac:dyDescent="0.35">
      <c r="M120" s="125"/>
      <c r="N120" s="111"/>
    </row>
    <row r="121" spans="1:14" x14ac:dyDescent="0.35">
      <c r="M121" s="125"/>
      <c r="N121" s="111"/>
    </row>
    <row r="122" spans="1:14" x14ac:dyDescent="0.35">
      <c r="A122" s="112" t="s">
        <v>260</v>
      </c>
      <c r="B122" s="114"/>
      <c r="C122" s="117"/>
      <c r="E122" s="117"/>
      <c r="F122" s="117"/>
      <c r="G122" s="117"/>
      <c r="H122" s="117"/>
      <c r="I122" s="117"/>
      <c r="J122" s="117"/>
      <c r="K122" s="117"/>
      <c r="L122" s="117"/>
      <c r="M122" s="125"/>
      <c r="N122" s="111"/>
    </row>
    <row r="123" spans="1:14" x14ac:dyDescent="0.35">
      <c r="B123" s="118"/>
      <c r="C123" s="118"/>
      <c r="E123" s="118"/>
      <c r="F123" s="118"/>
      <c r="G123" s="118"/>
      <c r="H123" s="118"/>
      <c r="I123" s="118"/>
      <c r="J123" s="118"/>
      <c r="K123" s="118"/>
      <c r="L123" s="118"/>
      <c r="M123" s="125"/>
      <c r="N123" s="111"/>
    </row>
    <row r="124" spans="1:14" x14ac:dyDescent="0.35">
      <c r="A124" s="330" t="s">
        <v>0</v>
      </c>
      <c r="B124" s="332" t="s">
        <v>1</v>
      </c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</row>
    <row r="125" spans="1:14" x14ac:dyDescent="0.35">
      <c r="A125" s="331"/>
      <c r="B125" s="166">
        <v>1</v>
      </c>
      <c r="C125" s="166">
        <v>2</v>
      </c>
      <c r="D125" s="166">
        <v>2.33</v>
      </c>
      <c r="E125" s="166">
        <v>5</v>
      </c>
      <c r="F125" s="166">
        <v>10</v>
      </c>
      <c r="G125" s="166">
        <v>20</v>
      </c>
      <c r="H125" s="166">
        <v>50</v>
      </c>
      <c r="I125" s="166">
        <v>100</v>
      </c>
      <c r="J125" s="166">
        <v>200</v>
      </c>
      <c r="K125" s="166">
        <v>500</v>
      </c>
      <c r="L125" s="166">
        <v>1000</v>
      </c>
      <c r="M125" s="192">
        <v>5000</v>
      </c>
      <c r="N125" s="192">
        <v>10000</v>
      </c>
    </row>
    <row r="126" spans="1:14" x14ac:dyDescent="0.35">
      <c r="A126" s="314" t="s">
        <v>8</v>
      </c>
      <c r="B126" s="123">
        <f>+INDEX('Arun River at Uwa Gaon (600.1)'!$F$47:$F$59,'Regional flood frequency analys'!B198,)</f>
        <v>858.40324096909444</v>
      </c>
      <c r="C126" s="123">
        <f>+INDEX('Arun River at Uwa Gaon (600.1)'!$F$47:$F$59,'Regional flood frequency analys'!C198,)</f>
        <v>1352.3130563300926</v>
      </c>
      <c r="D126" s="123">
        <f>+INDEX('Arun River at Uwa Gaon (600.1)'!$F$47:$F$59,'Regional flood frequency analys'!D198,)</f>
        <v>1396.5360814671876</v>
      </c>
      <c r="E126" s="123">
        <f>+INDEX('Arun River at Uwa Gaon (600.1)'!$F$47:$F$59,'Regional flood frequency analys'!E198,)</f>
        <v>1574.3583134793946</v>
      </c>
      <c r="F126" s="123">
        <f>+INDEX('Arun River at Uwa Gaon (600.1)'!$F$47:$F$59,'Regional flood frequency analys'!F198,)</f>
        <v>1704.7088299448419</v>
      </c>
      <c r="G126" s="123">
        <f>+INDEX('Arun River at Uwa Gaon (600.1)'!$F$47:$F$59,'Regional flood frequency analys'!G198,)</f>
        <v>1820.4192485747451</v>
      </c>
      <c r="H126" s="123">
        <f>+INDEX('Arun River at Uwa Gaon (600.1)'!$F$47:$F$59,'Regional flood frequency analys'!H198,)</f>
        <v>1960.0285482679385</v>
      </c>
      <c r="I126" s="123">
        <f>+INDEX('Arun River at Uwa Gaon (600.1)'!$F$47:$F$59,'Regional flood frequency analys'!I198,)</f>
        <v>2058.979777402631</v>
      </c>
      <c r="J126" s="123">
        <f>+INDEX('Arun River at Uwa Gaon (600.1)'!$F$47:$F$59,'Regional flood frequency analys'!J198,)</f>
        <v>2153.9002002338152</v>
      </c>
      <c r="K126" s="123">
        <f>+INDEX('Arun River at Uwa Gaon (600.1)'!$F$47:$F$59,'Regional flood frequency analys'!K198,)</f>
        <v>2274.8020077592519</v>
      </c>
      <c r="L126" s="123">
        <f>+INDEX('Arun River at Uwa Gaon (600.1)'!$F$47:$F$59,'Regional flood frequency analys'!L198,)</f>
        <v>2363.6312901426136</v>
      </c>
      <c r="M126" s="123">
        <f>+INDEX('Arun River at Uwa Gaon (600.1)'!$F$47:$F$59,'Regional flood frequency analys'!M198,)</f>
        <v>2563.7033916840105</v>
      </c>
      <c r="N126" s="123">
        <f>+INDEX('Arun River at Uwa Gaon (600.1)'!$F$47:$F$59,'Regional flood frequency analys'!N198,)</f>
        <v>2647.9136411604873</v>
      </c>
    </row>
    <row r="127" spans="1:14" x14ac:dyDescent="0.35">
      <c r="A127" s="314" t="s">
        <v>9</v>
      </c>
      <c r="B127" s="123">
        <f>+INDEX('Arun River at Uwa Gaon (600.1)'!$I$47:$I$59,'Regional flood frequency analys'!B198,)</f>
        <v>797.65378680706385</v>
      </c>
      <c r="C127" s="123">
        <f>+INDEX('Arun River at Uwa Gaon (600.1)'!$I$47:$I$59,'Regional flood frequency analys'!C198,)</f>
        <v>1370.9925128635991</v>
      </c>
      <c r="D127" s="123">
        <f>+INDEX('Arun River at Uwa Gaon (600.1)'!$I$47:$I$59,'Regional flood frequency analys'!D198,)</f>
        <v>1414.683721109458</v>
      </c>
      <c r="E127" s="123">
        <f>+INDEX('Arun River at Uwa Gaon (600.1)'!$I$47:$I$59,'Regional flood frequency analys'!E198,)</f>
        <v>1578.2140854157904</v>
      </c>
      <c r="F127" s="123">
        <f>+INDEX('Arun River at Uwa Gaon (600.1)'!$I$47:$I$59,'Regional flood frequency analys'!F198,)</f>
        <v>1686.4433483883608</v>
      </c>
      <c r="G127" s="123">
        <f>+INDEX('Arun River at Uwa Gaon (600.1)'!$I$47:$I$59,'Regional flood frequency analys'!G198,)</f>
        <v>1774.9282537674003</v>
      </c>
      <c r="H127" s="123">
        <f>+INDEX('Arun River at Uwa Gaon (600.1)'!$I$47:$I$59,'Regional flood frequency analys'!H198,)</f>
        <v>1872.9554232804892</v>
      </c>
      <c r="I127" s="123">
        <f>+INDEX('Arun River at Uwa Gaon (600.1)'!$I$47:$I$59,'Regional flood frequency analys'!I198,)</f>
        <v>1937.1025211702602</v>
      </c>
      <c r="J127" s="123">
        <f>+INDEX('Arun River at Uwa Gaon (600.1)'!$I$47:$I$59,'Regional flood frequency analys'!J198,)</f>
        <v>1994.7951853780989</v>
      </c>
      <c r="K127" s="123">
        <f>+INDEX('Arun River at Uwa Gaon (600.1)'!$I$47:$I$59,'Regional flood frequency analys'!K198,)</f>
        <v>2063.2279532432244</v>
      </c>
      <c r="L127" s="123">
        <f>+INDEX('Arun River at Uwa Gaon (600.1)'!$I$47:$I$59,'Regional flood frequency analys'!L198,)</f>
        <v>2110.1564854491958</v>
      </c>
      <c r="M127" s="123">
        <f>+INDEX('Arun River at Uwa Gaon (600.1)'!$I$47:$I$59,'Regional flood frequency analys'!M198,)</f>
        <v>2206.4382310925798</v>
      </c>
      <c r="N127" s="123">
        <f>+INDEX('Arun River at Uwa Gaon (600.1)'!$I$47:$I$59,'Regional flood frequency analys'!N198,)</f>
        <v>2243.4002477403246</v>
      </c>
    </row>
    <row r="128" spans="1:14" x14ac:dyDescent="0.35">
      <c r="A128" s="120" t="s">
        <v>7</v>
      </c>
      <c r="B128" s="121" t="s">
        <v>73</v>
      </c>
      <c r="C128" s="122">
        <f>+INDEX('Arun River at Uwa Gaon (600.1)'!$K$47:$K$59,'Regional flood frequency analys'!C198,)</f>
        <v>1333.6379986843704</v>
      </c>
      <c r="D128" s="122">
        <f>+INDEX('Arun River at Uwa Gaon (600.1)'!$K$47:$K$59,'Regional flood frequency analys'!D198,)</f>
        <v>1373.2970216638953</v>
      </c>
      <c r="E128" s="122">
        <f>+INDEX('Arun River at Uwa Gaon (600.1)'!$K$47:$K$59,'Regional flood frequency analys'!E198,)</f>
        <v>1545.5938004055492</v>
      </c>
      <c r="F128" s="122">
        <f>+INDEX('Arun River at Uwa Gaon (600.1)'!$K$47:$K$59,'Regional flood frequency analys'!F198,)</f>
        <v>1685.92698402782</v>
      </c>
      <c r="G128" s="122">
        <f>+INDEX('Arun River at Uwa Gaon (600.1)'!$K$47:$K$59,'Regional flood frequency analys'!G198,)</f>
        <v>1820.5379429543755</v>
      </c>
      <c r="H128" s="122">
        <f>+INDEX('Arun River at Uwa Gaon (600.1)'!$K$47:$K$59,'Regional flood frequency analys'!H198,)</f>
        <v>1994.778021671088</v>
      </c>
      <c r="I128" s="122">
        <f>+INDEX('Arun River at Uwa Gaon (600.1)'!$K$47:$K$59,'Regional flood frequency analys'!I198,)</f>
        <v>2125.3464413823722</v>
      </c>
      <c r="J128" s="122">
        <f>+INDEX('Arun River at Uwa Gaon (600.1)'!$K$47:$K$59,'Regional flood frequency analys'!J198,)</f>
        <v>2255.4384388626427</v>
      </c>
      <c r="K128" s="122">
        <f>+INDEX('Arun River at Uwa Gaon (600.1)'!$K$47:$K$59,'Regional flood frequency analys'!K198,)</f>
        <v>2427.0701270491995</v>
      </c>
      <c r="L128" s="122">
        <f>+INDEX('Arun River at Uwa Gaon (600.1)'!$K$47:$K$59,'Regional flood frequency analys'!L198,)</f>
        <v>2556.7852903027942</v>
      </c>
      <c r="M128" s="122">
        <f>+INDEX('Arun River at Uwa Gaon (600.1)'!$K$47:$K$59,'Regional flood frequency analys'!M198,)</f>
        <v>2857.8320342625011</v>
      </c>
      <c r="N128" s="122">
        <f>+INDEX('Arun River at Uwa Gaon (600.1)'!$K$47:$K$59,'Regional flood frequency analys'!N198,)</f>
        <v>2987.462929682134</v>
      </c>
    </row>
    <row r="129" spans="1:14" x14ac:dyDescent="0.35">
      <c r="A129" s="127"/>
      <c r="B129" s="118"/>
      <c r="C129" s="117"/>
      <c r="E129" s="117"/>
      <c r="F129" s="117"/>
      <c r="G129" s="117"/>
      <c r="H129" s="117"/>
      <c r="I129" s="117"/>
      <c r="J129" s="117"/>
      <c r="K129" s="117"/>
      <c r="L129" s="117"/>
      <c r="M129" s="125"/>
      <c r="N129" s="111"/>
    </row>
    <row r="130" spans="1:14" x14ac:dyDescent="0.35">
      <c r="A130" s="127"/>
      <c r="B130" s="118"/>
      <c r="C130" s="117"/>
      <c r="E130" s="117"/>
      <c r="F130" s="117"/>
      <c r="G130" s="117"/>
      <c r="H130" s="117"/>
      <c r="I130" s="117"/>
      <c r="J130" s="117"/>
      <c r="K130" s="117"/>
      <c r="L130" s="117"/>
      <c r="M130" s="125"/>
      <c r="N130" s="111"/>
    </row>
    <row r="131" spans="1:14" x14ac:dyDescent="0.35">
      <c r="A131" s="127"/>
      <c r="B131" s="118"/>
      <c r="C131" s="117"/>
      <c r="E131" s="117"/>
      <c r="F131" s="117"/>
      <c r="G131" s="117"/>
      <c r="H131" s="117"/>
      <c r="I131" s="117"/>
      <c r="J131" s="117"/>
      <c r="K131" s="117"/>
      <c r="L131" s="117"/>
      <c r="M131" s="125"/>
      <c r="N131" s="111"/>
    </row>
    <row r="132" spans="1:14" x14ac:dyDescent="0.35">
      <c r="A132" s="127"/>
      <c r="B132" s="118"/>
      <c r="C132" s="117"/>
      <c r="E132" s="117"/>
      <c r="F132" s="117"/>
      <c r="G132" s="117"/>
      <c r="H132" s="117"/>
      <c r="I132" s="117"/>
      <c r="J132" s="117"/>
      <c r="K132" s="117"/>
      <c r="L132" s="117"/>
      <c r="M132" s="125"/>
      <c r="N132" s="111"/>
    </row>
    <row r="133" spans="1:14" x14ac:dyDescent="0.35">
      <c r="A133" s="127"/>
      <c r="B133" s="118"/>
      <c r="C133" s="117"/>
      <c r="E133" s="117"/>
      <c r="F133" s="117"/>
      <c r="G133" s="117"/>
      <c r="H133" s="117"/>
      <c r="I133" s="117"/>
      <c r="J133" s="117"/>
      <c r="K133" s="117"/>
      <c r="L133" s="117"/>
      <c r="M133" s="125"/>
      <c r="N133" s="111"/>
    </row>
    <row r="134" spans="1:14" x14ac:dyDescent="0.35">
      <c r="A134" s="127"/>
      <c r="B134" s="118"/>
      <c r="C134" s="117"/>
      <c r="E134" s="117"/>
      <c r="F134" s="117"/>
      <c r="G134" s="117"/>
      <c r="H134" s="117"/>
      <c r="I134" s="117"/>
      <c r="J134" s="117"/>
      <c r="K134" s="117"/>
      <c r="L134" s="117"/>
      <c r="M134" s="125"/>
      <c r="N134" s="111"/>
    </row>
    <row r="135" spans="1:14" x14ac:dyDescent="0.35">
      <c r="A135" s="127"/>
      <c r="B135" s="118"/>
      <c r="C135" s="117"/>
      <c r="E135" s="117"/>
      <c r="F135" s="117"/>
      <c r="G135" s="117"/>
      <c r="H135" s="117"/>
      <c r="I135" s="117"/>
      <c r="J135" s="117"/>
      <c r="K135" s="117"/>
      <c r="L135" s="117"/>
      <c r="M135" s="125"/>
      <c r="N135" s="111"/>
    </row>
    <row r="136" spans="1:14" x14ac:dyDescent="0.35">
      <c r="A136" s="127"/>
      <c r="B136" s="118"/>
      <c r="C136" s="117"/>
      <c r="E136" s="117"/>
      <c r="F136" s="117"/>
      <c r="G136" s="117"/>
      <c r="H136" s="117"/>
      <c r="I136" s="117"/>
      <c r="J136" s="117"/>
      <c r="K136" s="117"/>
      <c r="L136" s="117"/>
      <c r="M136" s="125"/>
      <c r="N136" s="111"/>
    </row>
    <row r="137" spans="1:14" x14ac:dyDescent="0.35">
      <c r="A137" s="127"/>
      <c r="B137" s="118"/>
      <c r="C137" s="117"/>
      <c r="E137" s="117"/>
      <c r="F137" s="117"/>
      <c r="G137" s="117"/>
      <c r="H137" s="117"/>
      <c r="I137" s="117"/>
      <c r="J137" s="117"/>
      <c r="K137" s="117"/>
      <c r="L137" s="117"/>
      <c r="M137" s="125"/>
      <c r="N137" s="111"/>
    </row>
    <row r="138" spans="1:14" x14ac:dyDescent="0.35">
      <c r="A138" s="127"/>
      <c r="B138" s="118"/>
      <c r="C138" s="117"/>
      <c r="E138" s="117"/>
      <c r="F138" s="117"/>
      <c r="G138" s="117"/>
      <c r="H138" s="117"/>
      <c r="I138" s="117"/>
      <c r="J138" s="117"/>
      <c r="K138" s="117"/>
      <c r="L138" s="117"/>
      <c r="M138" s="125"/>
      <c r="N138" s="111"/>
    </row>
    <row r="139" spans="1:14" x14ac:dyDescent="0.35">
      <c r="L139" s="104"/>
      <c r="M139" s="125"/>
      <c r="N139" s="111"/>
    </row>
    <row r="140" spans="1:14" x14ac:dyDescent="0.35">
      <c r="L140" s="104"/>
      <c r="M140" s="125"/>
      <c r="N140" s="111"/>
    </row>
    <row r="141" spans="1:14" x14ac:dyDescent="0.35">
      <c r="L141" s="104"/>
      <c r="M141" s="125"/>
      <c r="N141" s="111"/>
    </row>
    <row r="142" spans="1:14" x14ac:dyDescent="0.35">
      <c r="L142" s="104"/>
      <c r="M142" s="125"/>
      <c r="N142" s="111"/>
    </row>
    <row r="143" spans="1:14" x14ac:dyDescent="0.35">
      <c r="L143" s="104"/>
      <c r="M143" s="125"/>
      <c r="N143" s="111"/>
    </row>
    <row r="144" spans="1:14" hidden="1" x14ac:dyDescent="0.35">
      <c r="A144" s="112" t="s">
        <v>126</v>
      </c>
      <c r="B144" s="114"/>
      <c r="C144" s="117"/>
      <c r="E144" s="117"/>
      <c r="F144" s="117"/>
      <c r="G144" s="117"/>
      <c r="H144" s="117"/>
      <c r="I144" s="117"/>
      <c r="J144" s="117"/>
      <c r="K144" s="117"/>
      <c r="L144" s="117"/>
      <c r="M144" s="125"/>
      <c r="N144" s="111"/>
    </row>
    <row r="145" spans="1:14" hidden="1" x14ac:dyDescent="0.35">
      <c r="B145" s="118"/>
      <c r="C145" s="118"/>
      <c r="E145" s="118"/>
      <c r="F145" s="118"/>
      <c r="G145" s="118"/>
      <c r="H145" s="118"/>
      <c r="I145" s="118"/>
      <c r="J145" s="118"/>
      <c r="K145" s="118"/>
      <c r="L145" s="118"/>
      <c r="M145" s="125"/>
      <c r="N145" s="111"/>
    </row>
    <row r="146" spans="1:14" hidden="1" x14ac:dyDescent="0.35">
      <c r="A146" s="164" t="s">
        <v>0</v>
      </c>
      <c r="B146" s="332" t="s">
        <v>1</v>
      </c>
      <c r="C146" s="333"/>
      <c r="D146" s="333"/>
      <c r="E146" s="333"/>
      <c r="F146" s="333"/>
      <c r="G146" s="333"/>
      <c r="H146" s="333"/>
      <c r="I146" s="333"/>
      <c r="J146" s="333"/>
      <c r="K146" s="333"/>
      <c r="L146" s="333"/>
      <c r="M146" s="333"/>
      <c r="N146" s="333"/>
    </row>
    <row r="147" spans="1:14" hidden="1" x14ac:dyDescent="0.35">
      <c r="A147" s="165"/>
      <c r="B147" s="166">
        <v>1</v>
      </c>
      <c r="C147" s="166">
        <v>2</v>
      </c>
      <c r="D147" s="166">
        <v>2.33</v>
      </c>
      <c r="E147" s="166">
        <v>5</v>
      </c>
      <c r="F147" s="166">
        <v>10</v>
      </c>
      <c r="G147" s="166">
        <v>20</v>
      </c>
      <c r="H147" s="166">
        <v>50</v>
      </c>
      <c r="I147" s="166">
        <v>100</v>
      </c>
      <c r="J147" s="166">
        <v>200</v>
      </c>
      <c r="K147" s="166">
        <v>500</v>
      </c>
      <c r="L147" s="163">
        <v>1000</v>
      </c>
      <c r="M147" s="192">
        <v>5000</v>
      </c>
      <c r="N147" s="192">
        <v>10000</v>
      </c>
    </row>
    <row r="148" spans="1:14" hidden="1" x14ac:dyDescent="0.35">
      <c r="A148" s="115" t="s">
        <v>8</v>
      </c>
      <c r="B148" s="123" t="e">
        <f>+INDEX(#REF!,'Regional flood frequency analys'!B198,)</f>
        <v>#REF!</v>
      </c>
      <c r="C148" s="123" t="e">
        <f>+INDEX(#REF!,'Regional flood frequency analys'!C198,)</f>
        <v>#REF!</v>
      </c>
      <c r="D148" s="123" t="e">
        <f>+INDEX(#REF!,'Regional flood frequency analys'!D198,)</f>
        <v>#REF!</v>
      </c>
      <c r="E148" s="123" t="e">
        <f>+INDEX(#REF!,'Regional flood frequency analys'!E198,)</f>
        <v>#REF!</v>
      </c>
      <c r="F148" s="123" t="e">
        <f>+INDEX(#REF!,'Regional flood frequency analys'!F198,)</f>
        <v>#REF!</v>
      </c>
      <c r="G148" s="123" t="e">
        <f>+INDEX(#REF!,'Regional flood frequency analys'!G198,)</f>
        <v>#REF!</v>
      </c>
      <c r="H148" s="123" t="e">
        <f>+INDEX(#REF!,'Regional flood frequency analys'!H198,)</f>
        <v>#REF!</v>
      </c>
      <c r="I148" s="123" t="e">
        <f>+INDEX(#REF!,'Regional flood frequency analys'!I198,)</f>
        <v>#REF!</v>
      </c>
      <c r="J148" s="123" t="e">
        <f>+INDEX(#REF!,'Regional flood frequency analys'!J198,)</f>
        <v>#REF!</v>
      </c>
      <c r="K148" s="123" t="e">
        <f>+INDEX(#REF!,'Regional flood frequency analys'!K198,)</f>
        <v>#REF!</v>
      </c>
      <c r="L148" s="123" t="e">
        <f>+INDEX(#REF!,'Regional flood frequency analys'!L198,)</f>
        <v>#REF!</v>
      </c>
      <c r="M148" s="123" t="e">
        <f>+INDEX(#REF!,'Regional flood frequency analys'!M198,)</f>
        <v>#REF!</v>
      </c>
      <c r="N148" s="123" t="e">
        <f>+INDEX(#REF!,'Regional flood frequency analys'!N198,)</f>
        <v>#REF!</v>
      </c>
    </row>
    <row r="149" spans="1:14" hidden="1" x14ac:dyDescent="0.35">
      <c r="A149" s="120" t="s">
        <v>9</v>
      </c>
      <c r="B149" s="124" t="e">
        <f>+INDEX(#REF!,'Regional flood frequency analys'!B198,)</f>
        <v>#REF!</v>
      </c>
      <c r="C149" s="124" t="e">
        <f>+INDEX(#REF!,'Regional flood frequency analys'!C198,)</f>
        <v>#REF!</v>
      </c>
      <c r="D149" s="124" t="e">
        <f>+INDEX(#REF!,'Regional flood frequency analys'!D198,)</f>
        <v>#REF!</v>
      </c>
      <c r="E149" s="124" t="e">
        <f>+INDEX(#REF!,'Regional flood frequency analys'!E198,)</f>
        <v>#REF!</v>
      </c>
      <c r="F149" s="124" t="e">
        <f>+INDEX(#REF!,'Regional flood frequency analys'!F198,)</f>
        <v>#REF!</v>
      </c>
      <c r="G149" s="124" t="e">
        <f>+INDEX(#REF!,'Regional flood frequency analys'!G198,)</f>
        <v>#REF!</v>
      </c>
      <c r="H149" s="124" t="e">
        <f>+INDEX(#REF!,'Regional flood frequency analys'!H198,)</f>
        <v>#REF!</v>
      </c>
      <c r="I149" s="124" t="e">
        <f>+INDEX(#REF!,'Regional flood frequency analys'!I198,)</f>
        <v>#REF!</v>
      </c>
      <c r="J149" s="124" t="e">
        <f>+INDEX(#REF!,'Regional flood frequency analys'!J198,)</f>
        <v>#REF!</v>
      </c>
      <c r="K149" s="124" t="e">
        <f>+INDEX(#REF!,'Regional flood frequency analys'!K198,)</f>
        <v>#REF!</v>
      </c>
      <c r="L149" s="124" t="e">
        <f>+INDEX(#REF!,'Regional flood frequency analys'!L198,)</f>
        <v>#REF!</v>
      </c>
      <c r="M149" s="124" t="e">
        <f>+INDEX(#REF!,'Regional flood frequency analys'!M198,)</f>
        <v>#REF!</v>
      </c>
      <c r="N149" s="124" t="e">
        <f>+INDEX(#REF!,'Regional flood frequency analys'!N198,)</f>
        <v>#REF!</v>
      </c>
    </row>
    <row r="150" spans="1:14" hidden="1" x14ac:dyDescent="0.35">
      <c r="A150" s="148" t="s">
        <v>7</v>
      </c>
      <c r="B150" s="123" t="s">
        <v>73</v>
      </c>
      <c r="C150" s="123" t="e">
        <f>+INDEX(#REF!,'Regional flood frequency analys'!C198,)</f>
        <v>#REF!</v>
      </c>
      <c r="D150" s="123" t="e">
        <f>+INDEX(#REF!,'Regional flood frequency analys'!D198,)</f>
        <v>#REF!</v>
      </c>
      <c r="E150" s="123" t="e">
        <f>+INDEX(#REF!,'Regional flood frequency analys'!E198,)</f>
        <v>#REF!</v>
      </c>
      <c r="F150" s="123" t="e">
        <f>+INDEX(#REF!,'Regional flood frequency analys'!F198,)</f>
        <v>#REF!</v>
      </c>
      <c r="G150" s="123" t="e">
        <f>+INDEX(#REF!,'Regional flood frequency analys'!G198,)</f>
        <v>#REF!</v>
      </c>
      <c r="H150" s="123" t="e">
        <f>+INDEX(#REF!,'Regional flood frequency analys'!H198,)</f>
        <v>#REF!</v>
      </c>
      <c r="I150" s="123" t="e">
        <f>+INDEX(#REF!,'Regional flood frequency analys'!I198,)</f>
        <v>#REF!</v>
      </c>
      <c r="J150" s="123" t="e">
        <f>+INDEX(#REF!,'Regional flood frequency analys'!J198,)</f>
        <v>#REF!</v>
      </c>
      <c r="K150" s="123" t="e">
        <f>+INDEX(#REF!,'Regional flood frequency analys'!K198,)</f>
        <v>#REF!</v>
      </c>
      <c r="L150" s="123" t="e">
        <f>+INDEX(#REF!,'Regional flood frequency analys'!L198,)</f>
        <v>#REF!</v>
      </c>
      <c r="M150" s="123" t="e">
        <f>+INDEX(#REF!,'Regional flood frequency analys'!M198,)</f>
        <v>#REF!</v>
      </c>
      <c r="N150" s="123" t="e">
        <f>+INDEX(#REF!,'Regional flood frequency analys'!N198,)</f>
        <v>#REF!</v>
      </c>
    </row>
    <row r="151" spans="1:14" hidden="1" x14ac:dyDescent="0.35">
      <c r="M151" s="125"/>
      <c r="N151" s="111"/>
    </row>
    <row r="152" spans="1:14" hidden="1" x14ac:dyDescent="0.35">
      <c r="L152" s="104"/>
      <c r="M152" s="125"/>
      <c r="N152" s="111"/>
    </row>
    <row r="153" spans="1:14" hidden="1" x14ac:dyDescent="0.35">
      <c r="L153" s="104"/>
      <c r="M153" s="125"/>
      <c r="N153" s="111"/>
    </row>
    <row r="154" spans="1:14" hidden="1" x14ac:dyDescent="0.35">
      <c r="L154" s="104"/>
      <c r="M154" s="125"/>
      <c r="N154" s="111"/>
    </row>
    <row r="155" spans="1:14" hidden="1" x14ac:dyDescent="0.35">
      <c r="L155" s="104"/>
      <c r="M155" s="125"/>
      <c r="N155" s="111"/>
    </row>
    <row r="156" spans="1:14" hidden="1" x14ac:dyDescent="0.35">
      <c r="L156" s="104"/>
      <c r="M156" s="125"/>
      <c r="N156" s="111"/>
    </row>
    <row r="157" spans="1:14" hidden="1" x14ac:dyDescent="0.35">
      <c r="L157" s="104"/>
      <c r="M157" s="125"/>
      <c r="N157" s="111"/>
    </row>
    <row r="158" spans="1:14" hidden="1" x14ac:dyDescent="0.35">
      <c r="L158" s="104"/>
      <c r="M158" s="125"/>
      <c r="N158" s="111"/>
    </row>
    <row r="159" spans="1:14" hidden="1" x14ac:dyDescent="0.35">
      <c r="L159" s="104"/>
      <c r="M159" s="125"/>
      <c r="N159" s="111"/>
    </row>
    <row r="160" spans="1:14" hidden="1" x14ac:dyDescent="0.35">
      <c r="L160" s="104"/>
      <c r="M160" s="125"/>
      <c r="N160" s="111"/>
    </row>
    <row r="161" spans="1:14" hidden="1" x14ac:dyDescent="0.35">
      <c r="L161" s="104"/>
      <c r="M161" s="125"/>
      <c r="N161" s="111"/>
    </row>
    <row r="162" spans="1:14" hidden="1" x14ac:dyDescent="0.35">
      <c r="L162" s="104"/>
      <c r="M162" s="125"/>
      <c r="N162" s="111"/>
    </row>
    <row r="163" spans="1:14" hidden="1" x14ac:dyDescent="0.35">
      <c r="L163" s="104"/>
      <c r="M163" s="125"/>
      <c r="N163" s="111"/>
    </row>
    <row r="164" spans="1:14" hidden="1" x14ac:dyDescent="0.35">
      <c r="L164" s="104"/>
      <c r="M164" s="125"/>
      <c r="N164" s="111"/>
    </row>
    <row r="165" spans="1:14" hidden="1" x14ac:dyDescent="0.35">
      <c r="L165" s="104"/>
      <c r="M165" s="125"/>
      <c r="N165" s="111"/>
    </row>
    <row r="166" spans="1:14" hidden="1" x14ac:dyDescent="0.35">
      <c r="L166" s="104"/>
      <c r="M166" s="125"/>
      <c r="N166" s="111"/>
    </row>
    <row r="167" spans="1:14" hidden="1" x14ac:dyDescent="0.35">
      <c r="A167" s="112" t="s">
        <v>125</v>
      </c>
      <c r="B167" s="114"/>
      <c r="C167" s="117"/>
      <c r="E167" s="117"/>
      <c r="F167" s="117"/>
      <c r="G167" s="117"/>
      <c r="H167" s="117"/>
      <c r="I167" s="117"/>
      <c r="J167" s="117"/>
      <c r="K167" s="117"/>
      <c r="L167" s="117"/>
      <c r="M167" s="125"/>
      <c r="N167" s="111"/>
    </row>
    <row r="168" spans="1:14" hidden="1" x14ac:dyDescent="0.35">
      <c r="B168" s="118"/>
      <c r="C168" s="118"/>
      <c r="E168" s="118"/>
      <c r="F168" s="118"/>
      <c r="G168" s="118"/>
      <c r="H168" s="118"/>
      <c r="I168" s="118"/>
      <c r="J168" s="118"/>
      <c r="K168" s="118"/>
      <c r="L168" s="118"/>
      <c r="M168" s="125"/>
      <c r="N168" s="111"/>
    </row>
    <row r="169" spans="1:14" hidden="1" x14ac:dyDescent="0.35">
      <c r="A169" s="330" t="s">
        <v>0</v>
      </c>
      <c r="B169" s="332" t="s">
        <v>1</v>
      </c>
      <c r="C169" s="333"/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</row>
    <row r="170" spans="1:14" hidden="1" x14ac:dyDescent="0.35">
      <c r="A170" s="331"/>
      <c r="B170" s="166">
        <v>1</v>
      </c>
      <c r="C170" s="166">
        <v>2</v>
      </c>
      <c r="D170" s="166">
        <v>2.33</v>
      </c>
      <c r="E170" s="166">
        <v>5</v>
      </c>
      <c r="F170" s="166">
        <v>10</v>
      </c>
      <c r="G170" s="166">
        <v>20</v>
      </c>
      <c r="H170" s="166">
        <v>50</v>
      </c>
      <c r="I170" s="166">
        <v>100</v>
      </c>
      <c r="J170" s="166">
        <v>200</v>
      </c>
      <c r="K170" s="166">
        <v>500</v>
      </c>
      <c r="L170" s="173">
        <v>1000</v>
      </c>
      <c r="M170" s="192">
        <v>5000</v>
      </c>
      <c r="N170" s="192">
        <v>10000</v>
      </c>
    </row>
    <row r="171" spans="1:14" hidden="1" x14ac:dyDescent="0.35">
      <c r="A171" s="115" t="s">
        <v>8</v>
      </c>
      <c r="B171" s="123" t="e">
        <f>+INDEX(#REF!,'Regional flood frequency analys'!B198,)</f>
        <v>#REF!</v>
      </c>
      <c r="C171" s="123" t="e">
        <f>+INDEX(#REF!,'Regional flood frequency analys'!C198,)</f>
        <v>#REF!</v>
      </c>
      <c r="D171" s="123" t="e">
        <f>+INDEX(#REF!,'Regional flood frequency analys'!D198,)</f>
        <v>#REF!</v>
      </c>
      <c r="E171" s="123" t="e">
        <f>+INDEX(#REF!,'Regional flood frequency analys'!E198,)</f>
        <v>#REF!</v>
      </c>
      <c r="F171" s="123" t="e">
        <f>+INDEX(#REF!,'Regional flood frequency analys'!F198,)</f>
        <v>#REF!</v>
      </c>
      <c r="G171" s="123" t="e">
        <f>+INDEX(#REF!,'Regional flood frequency analys'!G198,)</f>
        <v>#REF!</v>
      </c>
      <c r="H171" s="123" t="e">
        <f>+INDEX(#REF!,'Regional flood frequency analys'!H198,)</f>
        <v>#REF!</v>
      </c>
      <c r="I171" s="123" t="e">
        <f>+INDEX(#REF!,'Regional flood frequency analys'!I198,)</f>
        <v>#REF!</v>
      </c>
      <c r="J171" s="123" t="e">
        <f>+INDEX(#REF!,'Regional flood frequency analys'!J198,)</f>
        <v>#REF!</v>
      </c>
      <c r="K171" s="123" t="e">
        <f>+INDEX(#REF!,'Regional flood frequency analys'!K198,)</f>
        <v>#REF!</v>
      </c>
      <c r="L171" s="123" t="e">
        <f>+INDEX(#REF!,'Regional flood frequency analys'!L198,)</f>
        <v>#REF!</v>
      </c>
      <c r="M171" s="123" t="e">
        <f>+INDEX(#REF!,'Regional flood frequency analys'!M198,)</f>
        <v>#REF!</v>
      </c>
      <c r="N171" s="123" t="e">
        <f>+INDEX(#REF!,'Regional flood frequency analys'!N198,)</f>
        <v>#REF!</v>
      </c>
    </row>
    <row r="172" spans="1:14" hidden="1" x14ac:dyDescent="0.35">
      <c r="A172" s="115" t="s">
        <v>9</v>
      </c>
      <c r="B172" s="123" t="e">
        <f>+INDEX(#REF!,'Regional flood frequency analys'!B198,)</f>
        <v>#REF!</v>
      </c>
      <c r="C172" s="123" t="e">
        <f>+INDEX(#REF!,'Regional flood frequency analys'!C198,)</f>
        <v>#REF!</v>
      </c>
      <c r="D172" s="123" t="e">
        <f>+INDEX(#REF!,'Regional flood frequency analys'!D198,)</f>
        <v>#REF!</v>
      </c>
      <c r="E172" s="123" t="e">
        <f>+INDEX(#REF!,'Regional flood frequency analys'!E198,)</f>
        <v>#REF!</v>
      </c>
      <c r="F172" s="123" t="e">
        <f>+INDEX(#REF!,'Regional flood frequency analys'!F198,)</f>
        <v>#REF!</v>
      </c>
      <c r="G172" s="123" t="e">
        <f>+INDEX(#REF!,'Regional flood frequency analys'!G198,)</f>
        <v>#REF!</v>
      </c>
      <c r="H172" s="123" t="e">
        <f>+INDEX(#REF!,'Regional flood frequency analys'!H198,)</f>
        <v>#REF!</v>
      </c>
      <c r="I172" s="123" t="e">
        <f>+INDEX(#REF!,'Regional flood frequency analys'!I198,)</f>
        <v>#REF!</v>
      </c>
      <c r="J172" s="123" t="e">
        <f>+INDEX(#REF!,'Regional flood frequency analys'!J198,)</f>
        <v>#REF!</v>
      </c>
      <c r="K172" s="123" t="e">
        <f>+INDEX(#REF!,'Regional flood frequency analys'!K198,)</f>
        <v>#REF!</v>
      </c>
      <c r="L172" s="123" t="e">
        <f>+INDEX(#REF!,'Regional flood frequency analys'!L198,)</f>
        <v>#REF!</v>
      </c>
      <c r="M172" s="123" t="e">
        <f>+INDEX(#REF!,'Regional flood frequency analys'!M198,)</f>
        <v>#REF!</v>
      </c>
      <c r="N172" s="123" t="e">
        <f>+INDEX(#REF!,'Regional flood frequency analys'!N198,)</f>
        <v>#REF!</v>
      </c>
    </row>
    <row r="173" spans="1:14" hidden="1" x14ac:dyDescent="0.35">
      <c r="A173" s="120" t="s">
        <v>7</v>
      </c>
      <c r="B173" s="124" t="s">
        <v>73</v>
      </c>
      <c r="C173" s="124" t="e">
        <f>+INDEX(#REF!,'Regional flood frequency analys'!C198,)</f>
        <v>#REF!</v>
      </c>
      <c r="D173" s="124" t="e">
        <f>+INDEX(#REF!,'Regional flood frequency analys'!D198,)</f>
        <v>#REF!</v>
      </c>
      <c r="E173" s="124" t="e">
        <f>+INDEX(#REF!,'Regional flood frequency analys'!E198,)</f>
        <v>#REF!</v>
      </c>
      <c r="F173" s="124" t="e">
        <f>+INDEX(#REF!,'Regional flood frequency analys'!F198,)</f>
        <v>#REF!</v>
      </c>
      <c r="G173" s="124" t="e">
        <f>+INDEX(#REF!,'Regional flood frequency analys'!G198,)</f>
        <v>#REF!</v>
      </c>
      <c r="H173" s="124" t="e">
        <f>+INDEX(#REF!,'Regional flood frequency analys'!H198,)</f>
        <v>#REF!</v>
      </c>
      <c r="I173" s="124" t="e">
        <f>+INDEX(#REF!,'Regional flood frequency analys'!I198,)</f>
        <v>#REF!</v>
      </c>
      <c r="J173" s="124" t="e">
        <f>+INDEX(#REF!,'Regional flood frequency analys'!J198,)</f>
        <v>#REF!</v>
      </c>
      <c r="K173" s="124" t="e">
        <f>+INDEX(#REF!,'Regional flood frequency analys'!K198,)</f>
        <v>#REF!</v>
      </c>
      <c r="L173" s="124" t="e">
        <f>+INDEX(#REF!,'Regional flood frequency analys'!L198,)</f>
        <v>#REF!</v>
      </c>
      <c r="M173" s="124" t="e">
        <f>+INDEX(#REF!,'Regional flood frequency analys'!M198,)</f>
        <v>#REF!</v>
      </c>
      <c r="N173" s="124" t="e">
        <f>+INDEX(#REF!,'Regional flood frequency analys'!N198,)</f>
        <v>#REF!</v>
      </c>
    </row>
    <row r="174" spans="1:14" hidden="1" x14ac:dyDescent="0.35">
      <c r="L174" s="104"/>
      <c r="M174" s="125"/>
      <c r="N174" s="111"/>
    </row>
    <row r="175" spans="1:14" hidden="1" x14ac:dyDescent="0.35">
      <c r="L175" s="104"/>
      <c r="M175" s="125"/>
      <c r="N175" s="111"/>
    </row>
    <row r="176" spans="1:14" hidden="1" x14ac:dyDescent="0.35">
      <c r="L176" s="104"/>
      <c r="M176" s="125"/>
      <c r="N176" s="111"/>
    </row>
    <row r="177" spans="1:14" hidden="1" x14ac:dyDescent="0.35">
      <c r="L177" s="104"/>
      <c r="M177" s="125"/>
      <c r="N177" s="111"/>
    </row>
    <row r="178" spans="1:14" hidden="1" x14ac:dyDescent="0.35">
      <c r="L178" s="104"/>
      <c r="M178" s="125"/>
      <c r="N178" s="111"/>
    </row>
    <row r="179" spans="1:14" hidden="1" x14ac:dyDescent="0.35">
      <c r="A179" s="127"/>
      <c r="L179" s="104"/>
      <c r="M179" s="125"/>
      <c r="N179" s="111"/>
    </row>
    <row r="180" spans="1:14" hidden="1" x14ac:dyDescent="0.35">
      <c r="A180" s="127"/>
      <c r="B180" s="118"/>
      <c r="C180" s="117"/>
      <c r="E180" s="117"/>
      <c r="F180" s="117"/>
      <c r="G180" s="117"/>
      <c r="H180" s="117"/>
      <c r="I180" s="117"/>
      <c r="J180" s="117"/>
      <c r="K180" s="117"/>
      <c r="L180" s="117"/>
      <c r="M180" s="125"/>
      <c r="N180" s="111"/>
    </row>
    <row r="181" spans="1:14" hidden="1" x14ac:dyDescent="0.35">
      <c r="L181" s="104"/>
      <c r="M181" s="125"/>
      <c r="N181" s="111"/>
    </row>
    <row r="182" spans="1:14" hidden="1" x14ac:dyDescent="0.35">
      <c r="L182" s="104"/>
      <c r="M182" s="125"/>
      <c r="N182" s="111"/>
    </row>
    <row r="183" spans="1:14" hidden="1" x14ac:dyDescent="0.35">
      <c r="L183" s="104"/>
      <c r="M183" s="125"/>
      <c r="N183" s="111"/>
    </row>
    <row r="184" spans="1:14" hidden="1" x14ac:dyDescent="0.35">
      <c r="L184" s="104"/>
      <c r="M184" s="125"/>
      <c r="N184" s="111"/>
    </row>
    <row r="185" spans="1:14" hidden="1" x14ac:dyDescent="0.35">
      <c r="L185" s="104"/>
      <c r="M185" s="125"/>
      <c r="N185" s="111"/>
    </row>
    <row r="186" spans="1:14" hidden="1" x14ac:dyDescent="0.35"/>
    <row r="187" spans="1:14" hidden="1" x14ac:dyDescent="0.35"/>
    <row r="188" spans="1:14" hidden="1" x14ac:dyDescent="0.35"/>
    <row r="189" spans="1:14" hidden="1" x14ac:dyDescent="0.35"/>
    <row r="190" spans="1:14" hidden="1" x14ac:dyDescent="0.35">
      <c r="A190" s="112" t="s">
        <v>124</v>
      </c>
    </row>
    <row r="191" spans="1:14" hidden="1" x14ac:dyDescent="0.35"/>
    <row r="192" spans="1:14" hidden="1" x14ac:dyDescent="0.35">
      <c r="A192" s="330" t="s">
        <v>0</v>
      </c>
      <c r="B192" s="332" t="s">
        <v>1</v>
      </c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</row>
    <row r="193" spans="1:14" hidden="1" x14ac:dyDescent="0.35">
      <c r="A193" s="331"/>
      <c r="B193" s="166">
        <v>1</v>
      </c>
      <c r="C193" s="166">
        <v>2</v>
      </c>
      <c r="D193" s="166">
        <v>2.33</v>
      </c>
      <c r="E193" s="166">
        <v>5</v>
      </c>
      <c r="F193" s="166">
        <v>10</v>
      </c>
      <c r="G193" s="166">
        <v>20</v>
      </c>
      <c r="H193" s="166">
        <v>50</v>
      </c>
      <c r="I193" s="166">
        <v>100</v>
      </c>
      <c r="J193" s="166">
        <v>200</v>
      </c>
      <c r="K193" s="166">
        <v>500</v>
      </c>
      <c r="L193" s="166">
        <v>1000</v>
      </c>
      <c r="M193" s="192">
        <v>5000</v>
      </c>
      <c r="N193" s="192">
        <v>10000</v>
      </c>
    </row>
    <row r="194" spans="1:14" hidden="1" x14ac:dyDescent="0.35">
      <c r="A194" s="115" t="s">
        <v>8</v>
      </c>
      <c r="B194" s="123" t="e">
        <f>+INDEX(#REF!,'Regional flood frequency analys'!B198,)</f>
        <v>#REF!</v>
      </c>
      <c r="C194" s="123" t="e">
        <f>+INDEX(#REF!,'Regional flood frequency analys'!C198,)</f>
        <v>#REF!</v>
      </c>
      <c r="D194" s="123" t="e">
        <f>+INDEX(#REF!,'Regional flood frequency analys'!D198,)</f>
        <v>#REF!</v>
      </c>
      <c r="E194" s="123" t="e">
        <f>+INDEX(#REF!,'Regional flood frequency analys'!E198,)</f>
        <v>#REF!</v>
      </c>
      <c r="F194" s="123" t="e">
        <f>+INDEX(#REF!,'Regional flood frequency analys'!F198,)</f>
        <v>#REF!</v>
      </c>
      <c r="G194" s="123" t="e">
        <f>+INDEX(#REF!,'Regional flood frequency analys'!G198,)</f>
        <v>#REF!</v>
      </c>
      <c r="H194" s="123" t="e">
        <f>+INDEX(#REF!,'Regional flood frequency analys'!H198,)</f>
        <v>#REF!</v>
      </c>
      <c r="I194" s="123" t="e">
        <f>+INDEX(#REF!,'Regional flood frequency analys'!I198,)</f>
        <v>#REF!</v>
      </c>
      <c r="J194" s="123" t="e">
        <f>+INDEX(#REF!,'Regional flood frequency analys'!J198,)</f>
        <v>#REF!</v>
      </c>
      <c r="K194" s="123" t="e">
        <f>+INDEX(#REF!,'Regional flood frequency analys'!K198,)</f>
        <v>#REF!</v>
      </c>
      <c r="L194" s="123" t="e">
        <f>+INDEX(#REF!,'Regional flood frequency analys'!L198,)</f>
        <v>#REF!</v>
      </c>
      <c r="M194" s="123" t="e">
        <f>+INDEX(#REF!,'Regional flood frequency analys'!M198,)</f>
        <v>#REF!</v>
      </c>
      <c r="N194" s="123" t="e">
        <f>+INDEX(#REF!,'Regional flood frequency analys'!N198,)</f>
        <v>#REF!</v>
      </c>
    </row>
    <row r="195" spans="1:14" hidden="1" x14ac:dyDescent="0.35">
      <c r="A195" s="115" t="s">
        <v>9</v>
      </c>
      <c r="B195" s="123" t="e">
        <f>+INDEX(#REF!,'Regional flood frequency analys'!B198,)</f>
        <v>#REF!</v>
      </c>
      <c r="C195" s="123" t="e">
        <f>+INDEX(#REF!,'Regional flood frequency analys'!C198,)</f>
        <v>#REF!</v>
      </c>
      <c r="D195" s="123" t="e">
        <f>+INDEX(#REF!,'Regional flood frequency analys'!D198,)</f>
        <v>#REF!</v>
      </c>
      <c r="E195" s="123" t="e">
        <f>+INDEX(#REF!,'Regional flood frequency analys'!E198,)</f>
        <v>#REF!</v>
      </c>
      <c r="F195" s="123" t="e">
        <f>+INDEX(#REF!,'Regional flood frequency analys'!F198,)</f>
        <v>#REF!</v>
      </c>
      <c r="G195" s="123" t="e">
        <f>+INDEX(#REF!,'Regional flood frequency analys'!G198,)</f>
        <v>#REF!</v>
      </c>
      <c r="H195" s="123" t="e">
        <f>+INDEX(#REF!,'Regional flood frequency analys'!H198,)</f>
        <v>#REF!</v>
      </c>
      <c r="I195" s="123" t="e">
        <f>+INDEX(#REF!,'Regional flood frequency analys'!I198,)</f>
        <v>#REF!</v>
      </c>
      <c r="J195" s="123" t="e">
        <f>+INDEX(#REF!,'Regional flood frequency analys'!J198,)</f>
        <v>#REF!</v>
      </c>
      <c r="K195" s="123" t="e">
        <f>+INDEX(#REF!,'Regional flood frequency analys'!K198,)</f>
        <v>#REF!</v>
      </c>
      <c r="L195" s="123" t="e">
        <f>+INDEX(#REF!,'Regional flood frequency analys'!L198,)</f>
        <v>#REF!</v>
      </c>
      <c r="M195" s="123" t="e">
        <f>+INDEX(#REF!,'Regional flood frequency analys'!M198,)</f>
        <v>#REF!</v>
      </c>
      <c r="N195" s="123" t="e">
        <f>+INDEX(#REF!,'Regional flood frequency analys'!N198,)</f>
        <v>#REF!</v>
      </c>
    </row>
    <row r="196" spans="1:14" hidden="1" x14ac:dyDescent="0.35">
      <c r="A196" s="120" t="s">
        <v>7</v>
      </c>
      <c r="B196" s="124" t="s">
        <v>73</v>
      </c>
      <c r="C196" s="124" t="e">
        <f>+INDEX(#REF!,'Regional flood frequency analys'!C198,)</f>
        <v>#REF!</v>
      </c>
      <c r="D196" s="124" t="e">
        <f>+INDEX(#REF!,'Regional flood frequency analys'!D198,)</f>
        <v>#REF!</v>
      </c>
      <c r="E196" s="124" t="e">
        <f>+INDEX(#REF!,'Regional flood frequency analys'!E198,)</f>
        <v>#REF!</v>
      </c>
      <c r="F196" s="124" t="e">
        <f>+INDEX(#REF!,'Regional flood frequency analys'!F198,)</f>
        <v>#REF!</v>
      </c>
      <c r="G196" s="124" t="e">
        <f>+INDEX(#REF!,'Regional flood frequency analys'!G198,)</f>
        <v>#REF!</v>
      </c>
      <c r="H196" s="124" t="e">
        <f>+INDEX(#REF!,'Regional flood frequency analys'!H198,)</f>
        <v>#REF!</v>
      </c>
      <c r="I196" s="124" t="e">
        <f>+INDEX(#REF!,'Regional flood frequency analys'!I198,)</f>
        <v>#REF!</v>
      </c>
      <c r="J196" s="124" t="e">
        <f>+INDEX(#REF!,'Regional flood frequency analys'!J198,)</f>
        <v>#REF!</v>
      </c>
      <c r="K196" s="124" t="e">
        <f>+INDEX(#REF!,'Regional flood frequency analys'!K198,)</f>
        <v>#REF!</v>
      </c>
      <c r="L196" s="124" t="e">
        <f>+INDEX(#REF!,'Regional flood frequency analys'!L198,)</f>
        <v>#REF!</v>
      </c>
      <c r="M196" s="124" t="e">
        <f>+INDEX(#REF!,'Regional flood frequency analys'!M198,)</f>
        <v>#REF!</v>
      </c>
      <c r="N196" s="124" t="e">
        <f>+INDEX(#REF!,'Regional flood frequency analys'!N198,)</f>
        <v>#REF!</v>
      </c>
    </row>
    <row r="197" spans="1:14" hidden="1" x14ac:dyDescent="0.35"/>
    <row r="198" spans="1:14" hidden="1" x14ac:dyDescent="0.35">
      <c r="B198" s="118">
        <v>1</v>
      </c>
      <c r="C198" s="117">
        <v>2</v>
      </c>
      <c r="D198" s="117">
        <v>3</v>
      </c>
      <c r="E198" s="117">
        <v>4</v>
      </c>
      <c r="F198" s="117">
        <v>5</v>
      </c>
      <c r="G198" s="117">
        <v>6</v>
      </c>
      <c r="H198" s="117">
        <v>7</v>
      </c>
      <c r="I198" s="117">
        <v>8</v>
      </c>
      <c r="J198" s="117">
        <v>9</v>
      </c>
      <c r="K198" s="117">
        <v>10</v>
      </c>
      <c r="L198" s="117">
        <v>11</v>
      </c>
      <c r="M198" s="117">
        <v>12</v>
      </c>
      <c r="N198" s="117">
        <v>13</v>
      </c>
    </row>
    <row r="199" spans="1:14" hidden="1" x14ac:dyDescent="0.35"/>
    <row r="200" spans="1:14" hidden="1" x14ac:dyDescent="0.35"/>
    <row r="201" spans="1:14" hidden="1" x14ac:dyDescent="0.35"/>
    <row r="202" spans="1:14" hidden="1" x14ac:dyDescent="0.35"/>
    <row r="203" spans="1:14" hidden="1" x14ac:dyDescent="0.35"/>
    <row r="204" spans="1:14" hidden="1" x14ac:dyDescent="0.35"/>
    <row r="205" spans="1:14" hidden="1" x14ac:dyDescent="0.35"/>
    <row r="206" spans="1:14" hidden="1" x14ac:dyDescent="0.35"/>
    <row r="207" spans="1:14" hidden="1" x14ac:dyDescent="0.35">
      <c r="L207" s="104"/>
    </row>
    <row r="208" spans="1:14" hidden="1" x14ac:dyDescent="0.35"/>
    <row r="209" spans="1:14" hidden="1" x14ac:dyDescent="0.35"/>
    <row r="210" spans="1:14" hidden="1" x14ac:dyDescent="0.35">
      <c r="L210" s="104"/>
    </row>
    <row r="211" spans="1:14" hidden="1" x14ac:dyDescent="0.35">
      <c r="L211" s="104"/>
    </row>
    <row r="212" spans="1:14" hidden="1" x14ac:dyDescent="0.35">
      <c r="L212" s="104"/>
    </row>
    <row r="213" spans="1:14" hidden="1" x14ac:dyDescent="0.35">
      <c r="L213" s="104"/>
    </row>
    <row r="214" spans="1:14" hidden="1" x14ac:dyDescent="0.35">
      <c r="L214" s="104"/>
    </row>
    <row r="215" spans="1:14" hidden="1" x14ac:dyDescent="0.35">
      <c r="L215" s="104"/>
    </row>
    <row r="216" spans="1:14" hidden="1" x14ac:dyDescent="0.35">
      <c r="L216" s="104"/>
    </row>
    <row r="217" spans="1:14" hidden="1" x14ac:dyDescent="0.35">
      <c r="L217" s="104"/>
    </row>
    <row r="218" spans="1:14" hidden="1" x14ac:dyDescent="0.35">
      <c r="A218" s="112" t="s">
        <v>234</v>
      </c>
      <c r="L218" s="104"/>
    </row>
    <row r="219" spans="1:14" hidden="1" x14ac:dyDescent="0.35">
      <c r="L219" s="104"/>
    </row>
    <row r="220" spans="1:14" hidden="1" x14ac:dyDescent="0.35">
      <c r="A220" s="330" t="s">
        <v>0</v>
      </c>
      <c r="B220" s="332" t="s">
        <v>1</v>
      </c>
      <c r="C220" s="333"/>
      <c r="D220" s="333"/>
      <c r="E220" s="333"/>
      <c r="F220" s="333"/>
      <c r="G220" s="333"/>
      <c r="H220" s="333"/>
      <c r="I220" s="333"/>
      <c r="J220" s="333"/>
      <c r="K220" s="333"/>
      <c r="L220" s="333"/>
      <c r="M220" s="333"/>
      <c r="N220" s="333"/>
    </row>
    <row r="221" spans="1:14" hidden="1" x14ac:dyDescent="0.35">
      <c r="A221" s="331"/>
      <c r="B221" s="286">
        <v>1</v>
      </c>
      <c r="C221" s="286">
        <v>2</v>
      </c>
      <c r="D221" s="286">
        <v>2.33</v>
      </c>
      <c r="E221" s="286">
        <v>5</v>
      </c>
      <c r="F221" s="286">
        <v>10</v>
      </c>
      <c r="G221" s="286">
        <v>20</v>
      </c>
      <c r="H221" s="286">
        <v>50</v>
      </c>
      <c r="I221" s="286">
        <v>100</v>
      </c>
      <c r="J221" s="286">
        <v>200</v>
      </c>
      <c r="K221" s="286">
        <v>500</v>
      </c>
      <c r="L221" s="286">
        <v>1000</v>
      </c>
      <c r="M221" s="286">
        <v>5000</v>
      </c>
      <c r="N221" s="286">
        <v>10000</v>
      </c>
    </row>
    <row r="222" spans="1:14" hidden="1" x14ac:dyDescent="0.35">
      <c r="A222" s="115" t="s">
        <v>8</v>
      </c>
      <c r="B222" s="123" t="e">
        <f>+INDEX(#REF!,'Regional regression analysis'!B$229,)</f>
        <v>#REF!</v>
      </c>
      <c r="C222" s="123" t="e">
        <f>+INDEX(#REF!,'Regional regression analysis'!C$229,)</f>
        <v>#REF!</v>
      </c>
      <c r="D222" s="123" t="e">
        <f>+INDEX(#REF!,'Regional regression analysis'!D$229,)</f>
        <v>#REF!</v>
      </c>
      <c r="E222" s="123" t="e">
        <f>+INDEX(#REF!,'Regional regression analysis'!E$229,)</f>
        <v>#REF!</v>
      </c>
      <c r="F222" s="123" t="e">
        <f>+INDEX(#REF!,'Regional regression analysis'!F$229,)</f>
        <v>#REF!</v>
      </c>
      <c r="G222" s="123" t="e">
        <f>+INDEX(#REF!,'Regional regression analysis'!G$229,)</f>
        <v>#REF!</v>
      </c>
      <c r="H222" s="123" t="e">
        <f>+INDEX(#REF!,'Regional regression analysis'!H$229,)</f>
        <v>#REF!</v>
      </c>
      <c r="I222" s="123" t="e">
        <f>+INDEX(#REF!,'Regional regression analysis'!I$229,)</f>
        <v>#REF!</v>
      </c>
      <c r="J222" s="123" t="e">
        <f>+INDEX(#REF!,'Regional regression analysis'!J$229,)</f>
        <v>#REF!</v>
      </c>
      <c r="K222" s="123" t="e">
        <f>+INDEX(#REF!,'Regional regression analysis'!K$229,)</f>
        <v>#REF!</v>
      </c>
      <c r="L222" s="123" t="e">
        <f>+INDEX(#REF!,'Regional regression analysis'!L$229,)</f>
        <v>#REF!</v>
      </c>
      <c r="M222" s="123" t="e">
        <f>+INDEX(#REF!,'Regional regression analysis'!M$229,)</f>
        <v>#REF!</v>
      </c>
      <c r="N222" s="123" t="e">
        <f>+INDEX(#REF!,'Regional regression analysis'!N$229,)</f>
        <v>#REF!</v>
      </c>
    </row>
    <row r="223" spans="1:14" hidden="1" x14ac:dyDescent="0.35">
      <c r="A223" s="115" t="s">
        <v>9</v>
      </c>
      <c r="B223" s="123" t="e">
        <f>+INDEX(#REF!,'Regional regression analysis'!B$229,)</f>
        <v>#REF!</v>
      </c>
      <c r="C223" s="123" t="e">
        <f>+INDEX(#REF!,'Regional regression analysis'!C$229,)</f>
        <v>#REF!</v>
      </c>
      <c r="D223" s="123" t="e">
        <f>+INDEX(#REF!,'Regional regression analysis'!D$229,)</f>
        <v>#REF!</v>
      </c>
      <c r="E223" s="123" t="e">
        <f>+INDEX(#REF!,'Regional regression analysis'!E$229,)</f>
        <v>#REF!</v>
      </c>
      <c r="F223" s="123" t="e">
        <f>+INDEX(#REF!,'Regional regression analysis'!F$229,)</f>
        <v>#REF!</v>
      </c>
      <c r="G223" s="123" t="e">
        <f>+INDEX(#REF!,'Regional regression analysis'!G$229,)</f>
        <v>#REF!</v>
      </c>
      <c r="H223" s="123" t="e">
        <f>+INDEX(#REF!,'Regional regression analysis'!H$229,)</f>
        <v>#REF!</v>
      </c>
      <c r="I223" s="123" t="e">
        <f>+INDEX(#REF!,'Regional regression analysis'!I$229,)</f>
        <v>#REF!</v>
      </c>
      <c r="J223" s="123" t="e">
        <f>+INDEX(#REF!,'Regional regression analysis'!J$229,)</f>
        <v>#REF!</v>
      </c>
      <c r="K223" s="123" t="e">
        <f>+INDEX(#REF!,'Regional regression analysis'!K$229,)</f>
        <v>#REF!</v>
      </c>
      <c r="L223" s="123" t="e">
        <f>+INDEX(#REF!,'Regional regression analysis'!L$229,)</f>
        <v>#REF!</v>
      </c>
      <c r="M223" s="123" t="e">
        <f>+INDEX(#REF!,'Regional regression analysis'!M$229,)</f>
        <v>#REF!</v>
      </c>
      <c r="N223" s="123" t="e">
        <f>+INDEX(#REF!,'Regional regression analysis'!N$229,)</f>
        <v>#REF!</v>
      </c>
    </row>
    <row r="224" spans="1:14" hidden="1" x14ac:dyDescent="0.35">
      <c r="A224" s="120" t="s">
        <v>7</v>
      </c>
      <c r="B224" s="124" t="s">
        <v>73</v>
      </c>
      <c r="C224" s="124" t="e">
        <f>+INDEX(#REF!,'Regional regression analysis'!C$229,)</f>
        <v>#REF!</v>
      </c>
      <c r="D224" s="124" t="e">
        <f>+INDEX(#REF!,'Regional regression analysis'!D$229,)</f>
        <v>#REF!</v>
      </c>
      <c r="E224" s="124" t="e">
        <f>+INDEX(#REF!,'Regional regression analysis'!E$229,)</f>
        <v>#REF!</v>
      </c>
      <c r="F224" s="124" t="e">
        <f>+INDEX(#REF!,'Regional regression analysis'!F$229,)</f>
        <v>#REF!</v>
      </c>
      <c r="G224" s="124" t="e">
        <f>+INDEX(#REF!,'Regional regression analysis'!G$229,)</f>
        <v>#REF!</v>
      </c>
      <c r="H224" s="124" t="e">
        <f>+INDEX(#REF!,'Regional regression analysis'!H$229,)</f>
        <v>#REF!</v>
      </c>
      <c r="I224" s="124" t="e">
        <f>+INDEX(#REF!,'Regional regression analysis'!I$229,)</f>
        <v>#REF!</v>
      </c>
      <c r="J224" s="124" t="e">
        <f>+INDEX(#REF!,'Regional regression analysis'!J$229,)</f>
        <v>#REF!</v>
      </c>
      <c r="K224" s="124" t="e">
        <f>+INDEX(#REF!,'Regional regression analysis'!K$229,)</f>
        <v>#REF!</v>
      </c>
      <c r="L224" s="124" t="e">
        <f>+INDEX(#REF!,'Regional regression analysis'!L$229,)</f>
        <v>#REF!</v>
      </c>
      <c r="M224" s="124" t="e">
        <f>+INDEX(#REF!,'Regional regression analysis'!M$229,)</f>
        <v>#REF!</v>
      </c>
      <c r="N224" s="124" t="e">
        <f>+INDEX(#REF!,'Regional regression analysis'!N$229,)</f>
        <v>#REF!</v>
      </c>
    </row>
    <row r="225" spans="2:14" hidden="1" x14ac:dyDescent="0.35">
      <c r="L225" s="104"/>
    </row>
    <row r="226" spans="2:14" hidden="1" x14ac:dyDescent="0.35">
      <c r="B226" s="118">
        <v>1</v>
      </c>
      <c r="C226" s="117">
        <v>2</v>
      </c>
      <c r="D226" s="117">
        <v>3</v>
      </c>
      <c r="E226" s="117">
        <v>4</v>
      </c>
      <c r="F226" s="117">
        <v>5</v>
      </c>
      <c r="G226" s="117">
        <v>6</v>
      </c>
      <c r="H226" s="117">
        <v>7</v>
      </c>
      <c r="I226" s="117">
        <v>8</v>
      </c>
      <c r="J226" s="117">
        <v>9</v>
      </c>
      <c r="K226" s="117">
        <v>10</v>
      </c>
      <c r="L226" s="117">
        <v>11</v>
      </c>
      <c r="M226" s="117">
        <v>12</v>
      </c>
      <c r="N226" s="117">
        <v>13</v>
      </c>
    </row>
    <row r="227" spans="2:14" hidden="1" x14ac:dyDescent="0.35"/>
    <row r="228" spans="2:14" hidden="1" x14ac:dyDescent="0.35"/>
    <row r="229" spans="2:14" hidden="1" x14ac:dyDescent="0.35"/>
    <row r="230" spans="2:14" hidden="1" x14ac:dyDescent="0.35"/>
    <row r="231" spans="2:14" hidden="1" x14ac:dyDescent="0.35"/>
    <row r="232" spans="2:14" hidden="1" x14ac:dyDescent="0.35"/>
    <row r="233" spans="2:14" hidden="1" x14ac:dyDescent="0.35"/>
    <row r="234" spans="2:14" hidden="1" x14ac:dyDescent="0.35"/>
    <row r="235" spans="2:14" hidden="1" x14ac:dyDescent="0.35">
      <c r="L235" s="104"/>
    </row>
    <row r="236" spans="2:14" hidden="1" x14ac:dyDescent="0.35"/>
    <row r="237" spans="2:14" hidden="1" x14ac:dyDescent="0.35"/>
    <row r="238" spans="2:14" hidden="1" x14ac:dyDescent="0.35">
      <c r="L238" s="104"/>
    </row>
    <row r="239" spans="2:14" hidden="1" x14ac:dyDescent="0.35">
      <c r="L239" s="104"/>
    </row>
    <row r="240" spans="2:14" hidden="1" x14ac:dyDescent="0.35">
      <c r="L240" s="104"/>
    </row>
    <row r="241" spans="1:12" hidden="1" x14ac:dyDescent="0.35">
      <c r="L241" s="104"/>
    </row>
    <row r="242" spans="1:12" hidden="1" x14ac:dyDescent="0.35">
      <c r="L242" s="104"/>
    </row>
    <row r="243" spans="1:12" hidden="1" x14ac:dyDescent="0.35">
      <c r="L243" s="104"/>
    </row>
    <row r="244" spans="1:12" hidden="1" x14ac:dyDescent="0.35">
      <c r="L244" s="104"/>
    </row>
    <row r="245" spans="1:12" hidden="1" x14ac:dyDescent="0.35">
      <c r="L245" s="104"/>
    </row>
    <row r="246" spans="1:12" hidden="1" x14ac:dyDescent="0.35">
      <c r="L246" s="104"/>
    </row>
    <row r="247" spans="1:12" hidden="1" x14ac:dyDescent="0.35">
      <c r="L247" s="104"/>
    </row>
    <row r="248" spans="1:12" hidden="1" x14ac:dyDescent="0.35">
      <c r="L248" s="104"/>
    </row>
    <row r="249" spans="1:12" hidden="1" x14ac:dyDescent="0.35">
      <c r="L249" s="104"/>
    </row>
    <row r="250" spans="1:12" hidden="1" x14ac:dyDescent="0.35">
      <c r="L250" s="104"/>
    </row>
    <row r="251" spans="1:12" x14ac:dyDescent="0.35">
      <c r="A251" s="87" t="s">
        <v>108</v>
      </c>
      <c r="B251" s="126"/>
      <c r="C251" s="168"/>
      <c r="D251" s="168"/>
      <c r="E251" s="117"/>
      <c r="F251" s="117"/>
      <c r="G251" s="117"/>
      <c r="H251" s="117"/>
      <c r="I251" s="117"/>
      <c r="J251" s="117"/>
      <c r="K251" s="117"/>
      <c r="L251" s="117"/>
    </row>
    <row r="252" spans="1:12" ht="51.75" x14ac:dyDescent="0.35">
      <c r="A252" s="128" t="s">
        <v>92</v>
      </c>
      <c r="B252" s="129" t="s">
        <v>220</v>
      </c>
      <c r="C252" s="130" t="s">
        <v>93</v>
      </c>
      <c r="D252" s="130" t="s">
        <v>95</v>
      </c>
      <c r="E252" s="130" t="s">
        <v>96</v>
      </c>
      <c r="F252" s="130" t="s">
        <v>97</v>
      </c>
      <c r="G252" s="130" t="s">
        <v>94</v>
      </c>
      <c r="H252" s="130" t="s">
        <v>98</v>
      </c>
      <c r="I252" s="117"/>
      <c r="J252" s="117"/>
      <c r="K252" s="117"/>
      <c r="L252" s="117"/>
    </row>
    <row r="253" spans="1:12" x14ac:dyDescent="0.35">
      <c r="A253" s="131">
        <v>1</v>
      </c>
      <c r="B253" s="132" t="str">
        <f>'Station Details'!B2</f>
        <v>Isuwa at Intake</v>
      </c>
      <c r="C253" s="308" t="str">
        <f>'Station Details'!C2</f>
        <v>-</v>
      </c>
      <c r="D253" s="308">
        <f>'Station Details'!D2</f>
        <v>160.79</v>
      </c>
      <c r="E253" s="309">
        <f>'Station Details'!E2</f>
        <v>0.10019279805958081</v>
      </c>
      <c r="F253" s="309">
        <f>'Station Details'!F2</f>
        <v>0.6167672118912868</v>
      </c>
      <c r="G253" s="309">
        <f>'Station Details'!G2</f>
        <v>0.28303999004913238</v>
      </c>
      <c r="H253" s="134">
        <f>'Station Details'!H2</f>
        <v>115.28</v>
      </c>
      <c r="I253" s="117"/>
      <c r="L253" s="104"/>
    </row>
    <row r="254" spans="1:12" x14ac:dyDescent="0.35">
      <c r="A254" s="131">
        <v>2</v>
      </c>
      <c r="B254" s="132" t="str">
        <f>'Station Details'!B3</f>
        <v>Powerhouse river-1</v>
      </c>
      <c r="C254" s="308" t="str">
        <f>'Station Details'!C3</f>
        <v>-</v>
      </c>
      <c r="D254" s="308">
        <f>'Station Details'!D3</f>
        <v>27542.558891000001</v>
      </c>
      <c r="E254" s="309">
        <f>'Station Details'!E3</f>
        <v>2.5452972716673638E-2</v>
      </c>
      <c r="F254" s="309">
        <f>'Station Details'!F3</f>
        <v>0.58452339391241936</v>
      </c>
      <c r="G254" s="309">
        <f>'Station Details'!G3</f>
        <v>0.39003093512528636</v>
      </c>
      <c r="H254" s="134">
        <f>'Station Details'!H3</f>
        <v>16800.310000000001</v>
      </c>
      <c r="I254" s="117"/>
      <c r="J254" s="105"/>
      <c r="L254" s="105"/>
    </row>
    <row r="255" spans="1:12" x14ac:dyDescent="0.35">
      <c r="A255" s="131">
        <v>3</v>
      </c>
      <c r="B255" s="132" t="str">
        <f>'Station Details'!B4</f>
        <v>Uwa Gaon</v>
      </c>
      <c r="C255" s="308">
        <f>'Station Details'!C4</f>
        <v>600.1</v>
      </c>
      <c r="D255" s="308">
        <f>'Station Details'!D4</f>
        <v>27090.762891999999</v>
      </c>
      <c r="E255" s="309">
        <f>'Station Details'!E4</f>
        <v>1.6184483314402191E-2</v>
      </c>
      <c r="F255" s="309">
        <f>'Station Details'!F4</f>
        <v>0.58904764194412484</v>
      </c>
      <c r="G255" s="309">
        <f>'Station Details'!G4</f>
        <v>0.39476776798921903</v>
      </c>
      <c r="H255" s="134">
        <f>'Station Details'!H4</f>
        <v>16396.2</v>
      </c>
      <c r="J255" s="146"/>
      <c r="L255" s="105"/>
    </row>
    <row r="256" spans="1:12" x14ac:dyDescent="0.35">
      <c r="A256" s="131">
        <v>4</v>
      </c>
      <c r="B256" s="132" t="str">
        <f>'Station Details'!B5</f>
        <v>Sabhaya</v>
      </c>
      <c r="C256" s="308">
        <f>'Station Details'!C5</f>
        <v>602</v>
      </c>
      <c r="D256" s="308">
        <f>'Station Details'!D5</f>
        <v>391.36</v>
      </c>
      <c r="E256" s="309">
        <f>'Station Details'!E5</f>
        <v>0.92280764513491409</v>
      </c>
      <c r="F256" s="309">
        <f>'Station Details'!F5</f>
        <v>7.7166802943581358E-2</v>
      </c>
      <c r="G256" s="309">
        <f>'Station Details'!G5</f>
        <v>0</v>
      </c>
      <c r="H256" s="134">
        <f>'Station Details'!H5</f>
        <v>391.36</v>
      </c>
      <c r="J256" s="105"/>
      <c r="L256" s="105"/>
    </row>
    <row r="257" spans="1:26" x14ac:dyDescent="0.35">
      <c r="A257" s="131">
        <v>5</v>
      </c>
      <c r="B257" s="132" t="str">
        <f>'Station Details'!B6</f>
        <v>Hinwa</v>
      </c>
      <c r="C257" s="308">
        <f>'Station Details'!C6</f>
        <v>602.5</v>
      </c>
      <c r="D257" s="308">
        <f>'Station Details'!D6</f>
        <v>148.13999999999999</v>
      </c>
      <c r="E257" s="309">
        <f>'Station Details'!E6</f>
        <v>0.96030781692993117</v>
      </c>
      <c r="F257" s="309">
        <f>'Station Details'!F6</f>
        <v>3.9692183070068859E-2</v>
      </c>
      <c r="G257" s="309">
        <f>'Station Details'!G6</f>
        <v>0</v>
      </c>
      <c r="H257" s="134">
        <f>'Station Details'!H6</f>
        <v>148.13999999999999</v>
      </c>
      <c r="J257" s="105"/>
      <c r="L257" s="105"/>
    </row>
    <row r="258" spans="1:26" x14ac:dyDescent="0.35">
      <c r="A258" s="131">
        <v>6</v>
      </c>
      <c r="B258" s="132" t="str">
        <f>'Station Details'!B7</f>
        <v>Turkeghat</v>
      </c>
      <c r="C258" s="308">
        <f>'Station Details'!C7</f>
        <v>604.5</v>
      </c>
      <c r="D258" s="308">
        <f>'Station Details'!D7</f>
        <v>28601.893849</v>
      </c>
      <c r="E258" s="309">
        <f>'Station Details'!E7</f>
        <v>5.1300798742433651E-2</v>
      </c>
      <c r="F258" s="309">
        <f>'Station Details'!F7</f>
        <v>0.57277326062703271</v>
      </c>
      <c r="G258" s="309">
        <f>'Station Details'!G7</f>
        <v>0.37592615568622312</v>
      </c>
      <c r="H258" s="134">
        <f>'Station Details'!H7</f>
        <v>17849.7</v>
      </c>
      <c r="I258" s="111"/>
      <c r="J258" s="194"/>
      <c r="K258" s="111"/>
      <c r="L258" s="105"/>
      <c r="M258" s="111"/>
      <c r="N258" s="105"/>
      <c r="O258" s="136"/>
      <c r="Z258" s="137"/>
    </row>
    <row r="259" spans="1:26" x14ac:dyDescent="0.35">
      <c r="N259" s="105"/>
      <c r="O259" s="136"/>
      <c r="Z259" s="137"/>
    </row>
    <row r="260" spans="1:26" x14ac:dyDescent="0.35">
      <c r="A260" s="167" t="s">
        <v>261</v>
      </c>
      <c r="B260" s="87"/>
      <c r="C260" s="87"/>
      <c r="D260" s="87"/>
      <c r="E260" s="87"/>
      <c r="F260" s="87"/>
      <c r="N260" s="105"/>
      <c r="O260" s="136"/>
      <c r="Z260" s="137"/>
    </row>
    <row r="261" spans="1:26" x14ac:dyDescent="0.35">
      <c r="A261" s="139"/>
      <c r="B261" s="139"/>
      <c r="C261" s="139"/>
      <c r="D261" s="139"/>
      <c r="E261" s="140"/>
      <c r="F261" s="140"/>
      <c r="G261" s="140"/>
      <c r="H261" s="140"/>
      <c r="I261" s="140"/>
      <c r="J261" s="140"/>
      <c r="K261" s="140"/>
      <c r="L261" s="141"/>
      <c r="M261" s="141"/>
      <c r="N261" s="141"/>
      <c r="O261" s="136"/>
      <c r="Z261" s="137"/>
    </row>
    <row r="262" spans="1:26" ht="18.75" x14ac:dyDescent="0.35">
      <c r="A262" s="133" t="s">
        <v>59</v>
      </c>
      <c r="B262" s="342" t="s">
        <v>100</v>
      </c>
      <c r="C262" s="343"/>
      <c r="D262" s="344"/>
      <c r="E262" s="328" t="s">
        <v>2</v>
      </c>
      <c r="F262" s="328" t="s">
        <v>99</v>
      </c>
      <c r="G262" s="328" t="s">
        <v>36</v>
      </c>
      <c r="H262" s="328" t="s">
        <v>3</v>
      </c>
      <c r="I262" s="328" t="s">
        <v>37</v>
      </c>
      <c r="J262" s="328" t="s">
        <v>38</v>
      </c>
      <c r="K262" s="328" t="s">
        <v>4</v>
      </c>
      <c r="L262" s="328" t="s">
        <v>39</v>
      </c>
      <c r="M262" s="328" t="s">
        <v>5</v>
      </c>
      <c r="N262" s="328" t="s">
        <v>6</v>
      </c>
      <c r="O262" s="328" t="s">
        <v>227</v>
      </c>
      <c r="P262" s="328" t="s">
        <v>228</v>
      </c>
      <c r="Z262" s="137"/>
    </row>
    <row r="263" spans="1:26" x14ac:dyDescent="0.35">
      <c r="A263" s="133"/>
      <c r="B263" s="135" t="s">
        <v>60</v>
      </c>
      <c r="C263" s="135" t="s">
        <v>62</v>
      </c>
      <c r="D263" s="135" t="s">
        <v>61</v>
      </c>
      <c r="E263" s="341"/>
      <c r="F263" s="329"/>
      <c r="G263" s="329"/>
      <c r="H263" s="329"/>
      <c r="I263" s="329"/>
      <c r="J263" s="329"/>
      <c r="K263" s="329"/>
      <c r="L263" s="329"/>
      <c r="M263" s="329"/>
      <c r="N263" s="329"/>
      <c r="O263" s="329"/>
      <c r="P263" s="329"/>
      <c r="Z263" s="137"/>
    </row>
    <row r="264" spans="1:26" x14ac:dyDescent="0.35">
      <c r="A264" s="135" t="str">
        <f>B255</f>
        <v>Uwa Gaon</v>
      </c>
      <c r="B264" s="142">
        <f>D255</f>
        <v>27090.762891999999</v>
      </c>
      <c r="C264" s="142">
        <f>'Station Details'!H4</f>
        <v>16396.2</v>
      </c>
      <c r="D264" s="142">
        <f>B264-C264</f>
        <v>10694.562891999998</v>
      </c>
      <c r="E264" s="142">
        <f>C128</f>
        <v>1333.6379986843704</v>
      </c>
      <c r="F264" s="142">
        <f t="shared" ref="F264:P264" si="1">D128</f>
        <v>1373.2970216638953</v>
      </c>
      <c r="G264" s="142">
        <f t="shared" si="1"/>
        <v>1545.5938004055492</v>
      </c>
      <c r="H264" s="142">
        <f t="shared" si="1"/>
        <v>1685.92698402782</v>
      </c>
      <c r="I264" s="142">
        <f t="shared" si="1"/>
        <v>1820.5379429543755</v>
      </c>
      <c r="J264" s="142">
        <f t="shared" si="1"/>
        <v>1994.778021671088</v>
      </c>
      <c r="K264" s="142">
        <f t="shared" si="1"/>
        <v>2125.3464413823722</v>
      </c>
      <c r="L264" s="142">
        <f t="shared" si="1"/>
        <v>2255.4384388626427</v>
      </c>
      <c r="M264" s="142">
        <f t="shared" si="1"/>
        <v>2427.0701270491995</v>
      </c>
      <c r="N264" s="142">
        <f t="shared" si="1"/>
        <v>2556.7852903027942</v>
      </c>
      <c r="O264" s="142">
        <f t="shared" si="1"/>
        <v>2857.8320342625011</v>
      </c>
      <c r="P264" s="142">
        <f t="shared" si="1"/>
        <v>2987.462929682134</v>
      </c>
    </row>
    <row r="265" spans="1:26" x14ac:dyDescent="0.35">
      <c r="A265" s="135" t="str">
        <f t="shared" ref="A265:A267" si="2">B256</f>
        <v>Sabhaya</v>
      </c>
      <c r="B265" s="142">
        <f t="shared" ref="B265:B267" si="3">D256</f>
        <v>391.36</v>
      </c>
      <c r="C265" s="142">
        <f>'Station Details'!H5</f>
        <v>391.36</v>
      </c>
      <c r="D265" s="142">
        <f t="shared" ref="D265:D267" si="4">B265-C265</f>
        <v>0</v>
      </c>
      <c r="E265" s="142">
        <f>C56</f>
        <v>208.72311928241675</v>
      </c>
      <c r="F265" s="142">
        <f t="shared" ref="F265:P265" si="5">D56</f>
        <v>229.19227819315168</v>
      </c>
      <c r="G265" s="142">
        <f t="shared" si="5"/>
        <v>328.61695761715146</v>
      </c>
      <c r="H265" s="142">
        <f t="shared" si="5"/>
        <v>421.81397434430409</v>
      </c>
      <c r="I265" s="142">
        <f t="shared" si="5"/>
        <v>521.7221182634928</v>
      </c>
      <c r="J265" s="142">
        <f t="shared" si="5"/>
        <v>667.3998086767142</v>
      </c>
      <c r="K265" s="142">
        <f t="shared" si="5"/>
        <v>789.77090878732395</v>
      </c>
      <c r="L265" s="142">
        <f t="shared" si="5"/>
        <v>924.07362705970502</v>
      </c>
      <c r="M265" s="142">
        <f t="shared" si="5"/>
        <v>1122.1056650270341</v>
      </c>
      <c r="N265" s="142">
        <f t="shared" si="5"/>
        <v>1289.1112224289388</v>
      </c>
      <c r="O265" s="142">
        <f t="shared" si="5"/>
        <v>1742.4704713500792</v>
      </c>
      <c r="P265" s="142">
        <f t="shared" si="5"/>
        <v>1969.6530292179168</v>
      </c>
    </row>
    <row r="266" spans="1:26" x14ac:dyDescent="0.35">
      <c r="A266" s="135" t="str">
        <f t="shared" si="2"/>
        <v>Hinwa</v>
      </c>
      <c r="B266" s="142">
        <f t="shared" si="3"/>
        <v>148.13999999999999</v>
      </c>
      <c r="C266" s="142">
        <f>'Station Details'!H6</f>
        <v>148.13999999999999</v>
      </c>
      <c r="D266" s="142">
        <f t="shared" si="4"/>
        <v>0</v>
      </c>
      <c r="E266" s="142">
        <f>C82</f>
        <v>42.938933036017502</v>
      </c>
      <c r="F266" s="142">
        <f t="shared" ref="F266:P266" si="6">D82</f>
        <v>45.59637317870736</v>
      </c>
      <c r="G266" s="142">
        <f t="shared" si="6"/>
        <v>57.141498143601538</v>
      </c>
      <c r="H266" s="142">
        <f t="shared" si="6"/>
        <v>66.544832050788926</v>
      </c>
      <c r="I266" s="142">
        <f t="shared" si="6"/>
        <v>75.564735694963105</v>
      </c>
      <c r="J266" s="142">
        <f t="shared" si="6"/>
        <v>87.240075752792762</v>
      </c>
      <c r="K266" s="142">
        <f t="shared" si="6"/>
        <v>95.98910015733955</v>
      </c>
      <c r="L266" s="142">
        <f t="shared" si="6"/>
        <v>104.70620084147045</v>
      </c>
      <c r="M266" s="142">
        <f t="shared" si="6"/>
        <v>116.20675994954684</v>
      </c>
      <c r="N266" s="142">
        <f t="shared" si="6"/>
        <v>124.89861002673202</v>
      </c>
      <c r="O266" s="142">
        <f t="shared" si="6"/>
        <v>145.07090984959029</v>
      </c>
      <c r="P266" s="142">
        <f t="shared" si="6"/>
        <v>153.75711337504814</v>
      </c>
    </row>
    <row r="267" spans="1:26" x14ac:dyDescent="0.35">
      <c r="A267" s="135" t="str">
        <f t="shared" si="2"/>
        <v>Turkeghat</v>
      </c>
      <c r="B267" s="142">
        <f t="shared" si="3"/>
        <v>28601.893849</v>
      </c>
      <c r="C267" s="142">
        <f>'Station Details'!H7</f>
        <v>17849.7</v>
      </c>
      <c r="D267" s="142">
        <f t="shared" si="4"/>
        <v>10752.193848999999</v>
      </c>
      <c r="E267" s="142">
        <f>C104</f>
        <v>2798.584155022234</v>
      </c>
      <c r="F267" s="142">
        <f t="shared" ref="F267:P267" si="7">D104</f>
        <v>2964.5585453983908</v>
      </c>
      <c r="G267" s="142">
        <f t="shared" si="7"/>
        <v>3707.1927614848119</v>
      </c>
      <c r="H267" s="142">
        <f t="shared" si="7"/>
        <v>4334.4680606506599</v>
      </c>
      <c r="I267" s="142">
        <f t="shared" si="7"/>
        <v>4955.7672728051257</v>
      </c>
      <c r="J267" s="142">
        <f t="shared" si="7"/>
        <v>5793.0706203962409</v>
      </c>
      <c r="K267" s="142">
        <f t="shared" si="7"/>
        <v>6449.0721459088163</v>
      </c>
      <c r="L267" s="142">
        <f t="shared" si="7"/>
        <v>7130.5653035371224</v>
      </c>
      <c r="M267" s="142">
        <f t="shared" si="7"/>
        <v>8077.4973906914993</v>
      </c>
      <c r="N267" s="142">
        <f t="shared" si="7"/>
        <v>8833.080041107647</v>
      </c>
      <c r="O267" s="142">
        <f t="shared" si="7"/>
        <v>10736.078061451466</v>
      </c>
      <c r="P267" s="142">
        <f t="shared" si="7"/>
        <v>11626.531655402445</v>
      </c>
      <c r="R267" s="143"/>
      <c r="S267" s="143"/>
      <c r="T267" s="143"/>
      <c r="U267" s="143"/>
      <c r="V267" s="143"/>
      <c r="X267" s="143"/>
      <c r="Y267" s="143"/>
    </row>
    <row r="269" spans="1:26" x14ac:dyDescent="0.35">
      <c r="A269" s="87" t="s">
        <v>109</v>
      </c>
    </row>
    <row r="270" spans="1:26" x14ac:dyDescent="0.35">
      <c r="D270" s="348" t="s">
        <v>110</v>
      </c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</row>
    <row r="271" spans="1:26" ht="21.75" x14ac:dyDescent="0.35">
      <c r="A271" s="335" t="s">
        <v>59</v>
      </c>
      <c r="B271" s="275" t="s">
        <v>129</v>
      </c>
      <c r="C271" s="275"/>
      <c r="D271" s="155" t="s">
        <v>113</v>
      </c>
      <c r="E271" s="155" t="s">
        <v>122</v>
      </c>
      <c r="F271" s="155" t="s">
        <v>114</v>
      </c>
      <c r="G271" s="155" t="s">
        <v>115</v>
      </c>
      <c r="H271" s="155" t="s">
        <v>116</v>
      </c>
      <c r="I271" s="155" t="s">
        <v>117</v>
      </c>
      <c r="J271" s="155" t="s">
        <v>118</v>
      </c>
      <c r="K271" s="155" t="s">
        <v>119</v>
      </c>
      <c r="L271" s="155" t="s">
        <v>120</v>
      </c>
      <c r="M271" s="155" t="s">
        <v>121</v>
      </c>
      <c r="N271" s="279" t="s">
        <v>225</v>
      </c>
      <c r="O271" s="279" t="s">
        <v>226</v>
      </c>
    </row>
    <row r="272" spans="1:26" ht="33.75" customHeight="1" x14ac:dyDescent="0.35">
      <c r="A272" s="335"/>
      <c r="B272" s="128" t="s">
        <v>60</v>
      </c>
      <c r="C272" s="181" t="s">
        <v>127</v>
      </c>
      <c r="D272" s="153">
        <v>2</v>
      </c>
      <c r="E272" s="153">
        <v>2.33</v>
      </c>
      <c r="F272" s="153">
        <v>5</v>
      </c>
      <c r="G272" s="153">
        <v>10</v>
      </c>
      <c r="H272" s="153">
        <v>20</v>
      </c>
      <c r="I272" s="153">
        <v>50</v>
      </c>
      <c r="J272" s="153">
        <v>100</v>
      </c>
      <c r="K272" s="153">
        <v>200</v>
      </c>
      <c r="L272" s="153">
        <v>500</v>
      </c>
      <c r="M272" s="153">
        <v>1000</v>
      </c>
      <c r="N272" s="153">
        <v>5000</v>
      </c>
      <c r="O272" s="153">
        <v>10000</v>
      </c>
    </row>
    <row r="273" spans="1:15" x14ac:dyDescent="0.35">
      <c r="A273" s="135" t="str">
        <f t="shared" ref="A273:B276" si="8">+A264</f>
        <v>Uwa Gaon</v>
      </c>
      <c r="B273" s="142">
        <f t="shared" si="8"/>
        <v>27090.762891999999</v>
      </c>
      <c r="C273" s="142">
        <f>C264</f>
        <v>16396.2</v>
      </c>
      <c r="D273" s="174">
        <f t="shared" ref="D273:O273" si="9">+E264</f>
        <v>1333.6379986843704</v>
      </c>
      <c r="E273" s="174">
        <f t="shared" si="9"/>
        <v>1373.2970216638953</v>
      </c>
      <c r="F273" s="174">
        <f t="shared" si="9"/>
        <v>1545.5938004055492</v>
      </c>
      <c r="G273" s="174">
        <f t="shared" si="9"/>
        <v>1685.92698402782</v>
      </c>
      <c r="H273" s="174">
        <f t="shared" si="9"/>
        <v>1820.5379429543755</v>
      </c>
      <c r="I273" s="174">
        <f t="shared" si="9"/>
        <v>1994.778021671088</v>
      </c>
      <c r="J273" s="174">
        <f t="shared" si="9"/>
        <v>2125.3464413823722</v>
      </c>
      <c r="K273" s="174">
        <f t="shared" si="9"/>
        <v>2255.4384388626427</v>
      </c>
      <c r="L273" s="174">
        <f t="shared" si="9"/>
        <v>2427.0701270491995</v>
      </c>
      <c r="M273" s="174">
        <f t="shared" si="9"/>
        <v>2556.7852903027942</v>
      </c>
      <c r="N273" s="174">
        <f t="shared" si="9"/>
        <v>2857.8320342625011</v>
      </c>
      <c r="O273" s="174">
        <f t="shared" si="9"/>
        <v>2987.462929682134</v>
      </c>
    </row>
    <row r="274" spans="1:15" x14ac:dyDescent="0.35">
      <c r="A274" s="135" t="str">
        <f t="shared" si="8"/>
        <v>Sabhaya</v>
      </c>
      <c r="B274" s="142">
        <f t="shared" si="8"/>
        <v>391.36</v>
      </c>
      <c r="C274" s="142">
        <f t="shared" ref="C274:C276" si="10">C265</f>
        <v>391.36</v>
      </c>
      <c r="D274" s="174">
        <f t="shared" ref="D274:O274" si="11">+E265</f>
        <v>208.72311928241675</v>
      </c>
      <c r="E274" s="174">
        <f t="shared" si="11"/>
        <v>229.19227819315168</v>
      </c>
      <c r="F274" s="174">
        <f t="shared" si="11"/>
        <v>328.61695761715146</v>
      </c>
      <c r="G274" s="174">
        <f t="shared" si="11"/>
        <v>421.81397434430409</v>
      </c>
      <c r="H274" s="174">
        <f t="shared" si="11"/>
        <v>521.7221182634928</v>
      </c>
      <c r="I274" s="174">
        <f t="shared" si="11"/>
        <v>667.3998086767142</v>
      </c>
      <c r="J274" s="174">
        <f t="shared" si="11"/>
        <v>789.77090878732395</v>
      </c>
      <c r="K274" s="174">
        <f t="shared" si="11"/>
        <v>924.07362705970502</v>
      </c>
      <c r="L274" s="174">
        <f t="shared" si="11"/>
        <v>1122.1056650270341</v>
      </c>
      <c r="M274" s="174">
        <f t="shared" si="11"/>
        <v>1289.1112224289388</v>
      </c>
      <c r="N274" s="174">
        <f t="shared" si="11"/>
        <v>1742.4704713500792</v>
      </c>
      <c r="O274" s="174">
        <f t="shared" si="11"/>
        <v>1969.6530292179168</v>
      </c>
    </row>
    <row r="275" spans="1:15" x14ac:dyDescent="0.35">
      <c r="A275" s="135" t="str">
        <f t="shared" si="8"/>
        <v>Hinwa</v>
      </c>
      <c r="B275" s="142">
        <f t="shared" si="8"/>
        <v>148.13999999999999</v>
      </c>
      <c r="C275" s="142">
        <f t="shared" si="10"/>
        <v>148.13999999999999</v>
      </c>
      <c r="D275" s="174">
        <f t="shared" ref="D275:O275" si="12">+E266</f>
        <v>42.938933036017502</v>
      </c>
      <c r="E275" s="174">
        <f t="shared" si="12"/>
        <v>45.59637317870736</v>
      </c>
      <c r="F275" s="174">
        <f t="shared" si="12"/>
        <v>57.141498143601538</v>
      </c>
      <c r="G275" s="174">
        <f t="shared" si="12"/>
        <v>66.544832050788926</v>
      </c>
      <c r="H275" s="174">
        <f t="shared" si="12"/>
        <v>75.564735694963105</v>
      </c>
      <c r="I275" s="174">
        <f t="shared" si="12"/>
        <v>87.240075752792762</v>
      </c>
      <c r="J275" s="174">
        <f t="shared" si="12"/>
        <v>95.98910015733955</v>
      </c>
      <c r="K275" s="174">
        <f t="shared" si="12"/>
        <v>104.70620084147045</v>
      </c>
      <c r="L275" s="174">
        <f t="shared" si="12"/>
        <v>116.20675994954684</v>
      </c>
      <c r="M275" s="174">
        <f t="shared" si="12"/>
        <v>124.89861002673202</v>
      </c>
      <c r="N275" s="174">
        <f t="shared" si="12"/>
        <v>145.07090984959029</v>
      </c>
      <c r="O275" s="174">
        <f t="shared" si="12"/>
        <v>153.75711337504814</v>
      </c>
    </row>
    <row r="276" spans="1:15" x14ac:dyDescent="0.35">
      <c r="A276" s="135" t="str">
        <f t="shared" si="8"/>
        <v>Turkeghat</v>
      </c>
      <c r="B276" s="142">
        <f t="shared" si="8"/>
        <v>28601.893849</v>
      </c>
      <c r="C276" s="142">
        <f t="shared" si="10"/>
        <v>17849.7</v>
      </c>
      <c r="D276" s="174">
        <f t="shared" ref="D276:O276" si="13">+E267</f>
        <v>2798.584155022234</v>
      </c>
      <c r="E276" s="174">
        <f t="shared" si="13"/>
        <v>2964.5585453983908</v>
      </c>
      <c r="F276" s="174">
        <f t="shared" si="13"/>
        <v>3707.1927614848119</v>
      </c>
      <c r="G276" s="174">
        <f t="shared" si="13"/>
        <v>4334.4680606506599</v>
      </c>
      <c r="H276" s="174">
        <f t="shared" si="13"/>
        <v>4955.7672728051257</v>
      </c>
      <c r="I276" s="174">
        <f t="shared" si="13"/>
        <v>5793.0706203962409</v>
      </c>
      <c r="J276" s="174">
        <f t="shared" si="13"/>
        <v>6449.0721459088163</v>
      </c>
      <c r="K276" s="174">
        <f t="shared" si="13"/>
        <v>7130.5653035371224</v>
      </c>
      <c r="L276" s="174">
        <f t="shared" si="13"/>
        <v>8077.4973906914993</v>
      </c>
      <c r="M276" s="174">
        <f t="shared" si="13"/>
        <v>8833.080041107647</v>
      </c>
      <c r="N276" s="174">
        <f t="shared" si="13"/>
        <v>10736.078061451466</v>
      </c>
      <c r="O276" s="174">
        <f t="shared" si="13"/>
        <v>11626.531655402445</v>
      </c>
    </row>
    <row r="277" spans="1:15" x14ac:dyDescent="0.35">
      <c r="A277" s="143"/>
      <c r="B277" s="149"/>
      <c r="C277" s="149"/>
      <c r="D277" s="212"/>
      <c r="E277" s="212"/>
      <c r="F277" s="212"/>
      <c r="G277" s="212"/>
      <c r="H277" s="212"/>
      <c r="I277" s="212"/>
      <c r="J277" s="212"/>
      <c r="K277" s="212"/>
      <c r="L277" s="212"/>
      <c r="M277" s="212"/>
      <c r="N277" s="212"/>
      <c r="O277" s="212"/>
    </row>
    <row r="278" spans="1:15" ht="18.75" x14ac:dyDescent="0.4">
      <c r="A278" s="139"/>
      <c r="B278" s="139"/>
      <c r="C278" s="139"/>
      <c r="D278" s="350" t="s">
        <v>105</v>
      </c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</row>
    <row r="279" spans="1:15" ht="21.75" x14ac:dyDescent="0.35">
      <c r="A279" s="336" t="s">
        <v>59</v>
      </c>
      <c r="B279" s="273" t="s">
        <v>129</v>
      </c>
      <c r="C279" s="274"/>
      <c r="D279" s="155" t="s">
        <v>113</v>
      </c>
      <c r="E279" s="155" t="s">
        <v>114</v>
      </c>
      <c r="F279" s="155" t="s">
        <v>115</v>
      </c>
      <c r="G279" s="155" t="s">
        <v>116</v>
      </c>
      <c r="H279" s="155" t="s">
        <v>117</v>
      </c>
      <c r="I279" s="155" t="s">
        <v>118</v>
      </c>
      <c r="J279" s="155" t="s">
        <v>119</v>
      </c>
      <c r="K279" s="155" t="s">
        <v>120</v>
      </c>
      <c r="L279" s="155" t="s">
        <v>121</v>
      </c>
      <c r="M279" s="279" t="s">
        <v>225</v>
      </c>
      <c r="N279" s="279" t="s">
        <v>226</v>
      </c>
    </row>
    <row r="280" spans="1:15" ht="31.5" customHeight="1" x14ac:dyDescent="0.35">
      <c r="A280" s="337"/>
      <c r="B280" s="130" t="s">
        <v>60</v>
      </c>
      <c r="C280" s="181" t="s">
        <v>127</v>
      </c>
      <c r="D280" s="155">
        <v>2</v>
      </c>
      <c r="E280" s="155">
        <v>5</v>
      </c>
      <c r="F280" s="155">
        <v>10</v>
      </c>
      <c r="G280" s="155">
        <v>20</v>
      </c>
      <c r="H280" s="155">
        <v>50</v>
      </c>
      <c r="I280" s="155">
        <v>100</v>
      </c>
      <c r="J280" s="155">
        <v>200</v>
      </c>
      <c r="K280" s="155">
        <v>500</v>
      </c>
      <c r="L280" s="155">
        <v>1000</v>
      </c>
      <c r="M280" s="153">
        <v>5000</v>
      </c>
      <c r="N280" s="153">
        <v>10000</v>
      </c>
    </row>
    <row r="281" spans="1:15" x14ac:dyDescent="0.35">
      <c r="A281" s="135" t="str">
        <f t="shared" ref="A281:C284" si="14">+A273</f>
        <v>Uwa Gaon</v>
      </c>
      <c r="B281" s="144">
        <f t="shared" si="14"/>
        <v>27090.762891999999</v>
      </c>
      <c r="C281" s="144">
        <f t="shared" si="14"/>
        <v>16396.2</v>
      </c>
      <c r="D281" s="144">
        <f>+D273/E273</f>
        <v>0.97112130707785715</v>
      </c>
      <c r="E281" s="144">
        <f>+F273/E273</f>
        <v>1.1254621367582216</v>
      </c>
      <c r="F281" s="144">
        <f>+G273/E273</f>
        <v>1.2276491956453386</v>
      </c>
      <c r="G281" s="144">
        <f>+H273/E273</f>
        <v>1.3256694758928409</v>
      </c>
      <c r="H281" s="144">
        <f>+I273/E273</f>
        <v>1.4525466743197348</v>
      </c>
      <c r="I281" s="144">
        <f>+J273/E273</f>
        <v>1.5476232802189356</v>
      </c>
      <c r="J281" s="144">
        <f>+K273/E273</f>
        <v>1.6423529675539086</v>
      </c>
      <c r="K281" s="144">
        <f>+L273/E273</f>
        <v>1.7673308022677761</v>
      </c>
      <c r="L281" s="144">
        <f>+M273/E273</f>
        <v>1.861786088493061</v>
      </c>
      <c r="M281" s="144">
        <f>+N273/E273</f>
        <v>2.0810006787897448</v>
      </c>
      <c r="N281" s="144">
        <f>+O273/E273</f>
        <v>2.1753946033193206</v>
      </c>
    </row>
    <row r="282" spans="1:15" x14ac:dyDescent="0.35">
      <c r="A282" s="135" t="str">
        <f t="shared" si="14"/>
        <v>Sabhaya</v>
      </c>
      <c r="B282" s="144">
        <f t="shared" si="14"/>
        <v>391.36</v>
      </c>
      <c r="C282" s="144">
        <f t="shared" si="14"/>
        <v>391.36</v>
      </c>
      <c r="D282" s="144">
        <f>+D274/E274</f>
        <v>0.91069001507335012</v>
      </c>
      <c r="E282" s="144">
        <f>+F274/E274</f>
        <v>1.4338046648334708</v>
      </c>
      <c r="F282" s="144">
        <f>+G274/E274</f>
        <v>1.8404371110130533</v>
      </c>
      <c r="G282" s="144">
        <f>+H274/E274</f>
        <v>2.2763512033499302</v>
      </c>
      <c r="H282" s="144">
        <f>+I274/E274</f>
        <v>2.9119646348393262</v>
      </c>
      <c r="I282" s="144">
        <f>+J274/E274</f>
        <v>3.4458879461974932</v>
      </c>
      <c r="J282" s="144">
        <f>+K274/E274</f>
        <v>4.0318706823139232</v>
      </c>
      <c r="K282" s="144">
        <f>+L274/E274</f>
        <v>4.8959139194095362</v>
      </c>
      <c r="L282" s="144">
        <f>+M274/E274</f>
        <v>5.6245840068946</v>
      </c>
      <c r="M282" s="144">
        <f>+N274/E274</f>
        <v>7.6026578429558302</v>
      </c>
      <c r="N282" s="144">
        <f>+O274/E274</f>
        <v>8.5938891342490731</v>
      </c>
    </row>
    <row r="283" spans="1:15" x14ac:dyDescent="0.35">
      <c r="A283" s="135" t="str">
        <f t="shared" si="14"/>
        <v>Hinwa</v>
      </c>
      <c r="B283" s="144">
        <f t="shared" si="14"/>
        <v>148.13999999999999</v>
      </c>
      <c r="C283" s="144">
        <f t="shared" si="14"/>
        <v>148.13999999999999</v>
      </c>
      <c r="D283" s="144">
        <f>+D275/E275</f>
        <v>0.94171816841057809</v>
      </c>
      <c r="E283" s="144">
        <f>+F275/E275</f>
        <v>1.2532027036370852</v>
      </c>
      <c r="F283" s="144">
        <f>+G275/E275</f>
        <v>1.4594325691207408</v>
      </c>
      <c r="G283" s="144">
        <f>+H275/E275</f>
        <v>1.657253207372432</v>
      </c>
      <c r="H283" s="144">
        <f>+I275/E275</f>
        <v>1.9133117322921689</v>
      </c>
      <c r="I283" s="144">
        <f>+J275/E275</f>
        <v>2.105191563836148</v>
      </c>
      <c r="J283" s="144">
        <f>+K275/E275</f>
        <v>2.2963712581062534</v>
      </c>
      <c r="K283" s="144">
        <f>+L275/E275</f>
        <v>2.5485965625839113</v>
      </c>
      <c r="L283" s="144">
        <f>+M275/E275</f>
        <v>2.7392224714279969</v>
      </c>
      <c r="M283" s="144">
        <f>+N275/E275</f>
        <v>3.1816326548826401</v>
      </c>
      <c r="N283" s="144">
        <f>+O275/E275</f>
        <v>3.3721347259884649</v>
      </c>
    </row>
    <row r="284" spans="1:15" x14ac:dyDescent="0.35">
      <c r="A284" s="135" t="str">
        <f t="shared" si="14"/>
        <v>Turkeghat</v>
      </c>
      <c r="B284" s="144">
        <f t="shared" si="14"/>
        <v>28601.893849</v>
      </c>
      <c r="C284" s="144">
        <f t="shared" si="14"/>
        <v>17849.7</v>
      </c>
      <c r="D284" s="144">
        <f>+D276/E276</f>
        <v>0.94401379232878246</v>
      </c>
      <c r="E284" s="144">
        <f>+F276/E276</f>
        <v>1.250504149172275</v>
      </c>
      <c r="F284" s="144">
        <f>+G276/E276</f>
        <v>1.4620956187148513</v>
      </c>
      <c r="G284" s="144">
        <f>+H276/E276</f>
        <v>1.6716712444412689</v>
      </c>
      <c r="H284" s="144">
        <f>+I276/E276</f>
        <v>1.9541090289440519</v>
      </c>
      <c r="I284" s="144">
        <f>+J276/E276</f>
        <v>2.1753903817885845</v>
      </c>
      <c r="J284" s="144">
        <f>+K276/E276</f>
        <v>2.4052705299428938</v>
      </c>
      <c r="K284" s="144">
        <f>+L276/E276</f>
        <v>2.7246881000982253</v>
      </c>
      <c r="L284" s="144">
        <f>+M276/E276</f>
        <v>2.979559993786737</v>
      </c>
      <c r="M284" s="144">
        <f>+N276/E276</f>
        <v>3.621476147980307</v>
      </c>
      <c r="N284" s="144">
        <f>+O276/E276</f>
        <v>3.9218424859408598</v>
      </c>
    </row>
    <row r="285" spans="1:15" x14ac:dyDescent="0.35">
      <c r="K285" s="146"/>
      <c r="L285" s="104"/>
    </row>
    <row r="286" spans="1:15" ht="21.75" x14ac:dyDescent="0.35">
      <c r="A286" s="334" t="s">
        <v>41</v>
      </c>
      <c r="B286" s="155" t="s">
        <v>113</v>
      </c>
      <c r="C286" s="155" t="s">
        <v>114</v>
      </c>
      <c r="D286" s="155" t="s">
        <v>115</v>
      </c>
      <c r="E286" s="155" t="s">
        <v>116</v>
      </c>
      <c r="F286" s="155" t="s">
        <v>117</v>
      </c>
      <c r="G286" s="155" t="s">
        <v>118</v>
      </c>
      <c r="H286" s="155" t="s">
        <v>119</v>
      </c>
      <c r="I286" s="155" t="s">
        <v>120</v>
      </c>
      <c r="J286" s="155" t="s">
        <v>121</v>
      </c>
      <c r="K286" s="279" t="s">
        <v>225</v>
      </c>
      <c r="L286" s="279" t="s">
        <v>226</v>
      </c>
    </row>
    <row r="287" spans="1:15" x14ac:dyDescent="0.35">
      <c r="A287" s="334"/>
      <c r="B287" s="156">
        <v>2</v>
      </c>
      <c r="C287" s="156">
        <v>5</v>
      </c>
      <c r="D287" s="156">
        <v>10</v>
      </c>
      <c r="E287" s="156">
        <v>20</v>
      </c>
      <c r="F287" s="156">
        <v>50</v>
      </c>
      <c r="G287" s="156">
        <v>100</v>
      </c>
      <c r="H287" s="156">
        <v>200</v>
      </c>
      <c r="I287" s="156">
        <v>500</v>
      </c>
      <c r="J287" s="156">
        <v>1000</v>
      </c>
      <c r="K287" s="156">
        <v>5000</v>
      </c>
      <c r="L287" s="156">
        <v>10000</v>
      </c>
      <c r="M287" s="167" t="s">
        <v>31</v>
      </c>
    </row>
    <row r="288" spans="1:15" x14ac:dyDescent="0.35">
      <c r="A288" s="145" t="s">
        <v>130</v>
      </c>
      <c r="B288" s="154">
        <f t="shared" ref="B288:L288" si="15">+MEDIAN(D281:D284)</f>
        <v>0.94286598036968028</v>
      </c>
      <c r="C288" s="154">
        <f t="shared" si="15"/>
        <v>1.2518534264046801</v>
      </c>
      <c r="D288" s="154">
        <f t="shared" si="15"/>
        <v>1.4607640939177959</v>
      </c>
      <c r="E288" s="154">
        <f t="shared" si="15"/>
        <v>1.6644622259068504</v>
      </c>
      <c r="F288" s="154">
        <f t="shared" si="15"/>
        <v>1.9337103806181104</v>
      </c>
      <c r="G288" s="154">
        <f t="shared" si="15"/>
        <v>2.140290972812366</v>
      </c>
      <c r="H288" s="154">
        <f t="shared" si="15"/>
        <v>2.3508208940245736</v>
      </c>
      <c r="I288" s="154">
        <f t="shared" si="15"/>
        <v>2.6366423313410685</v>
      </c>
      <c r="J288" s="154">
        <f t="shared" si="15"/>
        <v>2.8593912326073667</v>
      </c>
      <c r="K288" s="154">
        <f t="shared" si="15"/>
        <v>3.4015544014314738</v>
      </c>
      <c r="L288" s="154">
        <f t="shared" si="15"/>
        <v>3.6469886059646623</v>
      </c>
      <c r="M288" s="167" t="s">
        <v>101</v>
      </c>
    </row>
    <row r="289" spans="1:12" x14ac:dyDescent="0.35">
      <c r="A289" s="157"/>
      <c r="B289" s="159"/>
      <c r="C289" s="159"/>
      <c r="D289" s="159"/>
      <c r="E289" s="159"/>
      <c r="F289" s="159"/>
      <c r="G289" s="159"/>
      <c r="H289" s="159"/>
      <c r="I289" s="159"/>
      <c r="J289" s="159"/>
      <c r="K289" s="167"/>
      <c r="L289" s="104"/>
    </row>
    <row r="290" spans="1:12" x14ac:dyDescent="0.35">
      <c r="A290" s="162" t="s">
        <v>123</v>
      </c>
      <c r="B290" s="159"/>
      <c r="C290" s="159"/>
      <c r="D290" s="159"/>
      <c r="E290" s="159"/>
      <c r="F290" s="159"/>
      <c r="G290" s="159"/>
      <c r="H290" s="159"/>
      <c r="I290" s="159"/>
      <c r="J290" s="159"/>
      <c r="L290" s="104"/>
    </row>
    <row r="291" spans="1:12" x14ac:dyDescent="0.35">
      <c r="L291" s="104"/>
    </row>
    <row r="292" spans="1:12" x14ac:dyDescent="0.35">
      <c r="A292" s="145" t="s">
        <v>102</v>
      </c>
      <c r="B292" s="158">
        <f>+LOG(B287)</f>
        <v>0.3010299956639812</v>
      </c>
      <c r="C292" s="158">
        <f t="shared" ref="C292:L292" si="16">+LOG(C287)</f>
        <v>0.69897000433601886</v>
      </c>
      <c r="D292" s="158">
        <f t="shared" si="16"/>
        <v>1</v>
      </c>
      <c r="E292" s="158">
        <f t="shared" si="16"/>
        <v>1.3010299956639813</v>
      </c>
      <c r="F292" s="158">
        <f t="shared" si="16"/>
        <v>1.6989700043360187</v>
      </c>
      <c r="G292" s="158">
        <f t="shared" si="16"/>
        <v>2</v>
      </c>
      <c r="H292" s="158">
        <f t="shared" si="16"/>
        <v>2.3010299956639813</v>
      </c>
      <c r="I292" s="158">
        <f t="shared" si="16"/>
        <v>2.6989700043360187</v>
      </c>
      <c r="J292" s="158">
        <f t="shared" si="16"/>
        <v>3</v>
      </c>
      <c r="K292" s="158">
        <f t="shared" si="16"/>
        <v>3.6989700043360187</v>
      </c>
      <c r="L292" s="158">
        <f t="shared" si="16"/>
        <v>4</v>
      </c>
    </row>
    <row r="293" spans="1:12" x14ac:dyDescent="0.35">
      <c r="A293" s="179" t="s">
        <v>103</v>
      </c>
      <c r="B293" s="180">
        <f>+LOG(B288)</f>
        <v>-2.5550033797450244E-2</v>
      </c>
      <c r="C293" s="180">
        <f t="shared" ref="C293:L293" si="17">+LOG(C288)</f>
        <v>9.7553482364753752E-2</v>
      </c>
      <c r="D293" s="180">
        <f t="shared" si="17"/>
        <v>0.16458008521417153</v>
      </c>
      <c r="E293" s="180">
        <f t="shared" si="17"/>
        <v>0.22127394352010302</v>
      </c>
      <c r="F293" s="180">
        <f t="shared" si="17"/>
        <v>0.28639142863104394</v>
      </c>
      <c r="G293" s="180">
        <f t="shared" si="17"/>
        <v>0.33047281974944342</v>
      </c>
      <c r="H293" s="180">
        <f t="shared" si="17"/>
        <v>0.37121954205565516</v>
      </c>
      <c r="I293" s="180">
        <f t="shared" si="17"/>
        <v>0.42105122040390719</v>
      </c>
      <c r="J293" s="180">
        <f t="shared" si="17"/>
        <v>0.45627358121952005</v>
      </c>
      <c r="K293" s="180">
        <f t="shared" si="17"/>
        <v>0.53167742107126414</v>
      </c>
      <c r="L293" s="180">
        <f t="shared" si="17"/>
        <v>0.56193440647956039</v>
      </c>
    </row>
    <row r="294" spans="1:12" x14ac:dyDescent="0.35">
      <c r="A294" s="135" t="str">
        <f>+A281</f>
        <v>Uwa Gaon</v>
      </c>
      <c r="B294" s="276">
        <f t="shared" ref="B294:L297" si="18">+LOG(D281)</f>
        <v>-1.2726517049813185E-2</v>
      </c>
      <c r="C294" s="276">
        <f t="shared" si="18"/>
        <v>5.1330888875790161E-2</v>
      </c>
      <c r="D294" s="276">
        <f t="shared" si="18"/>
        <v>8.9074283612188207E-2</v>
      </c>
      <c r="E294" s="276">
        <f t="shared" si="18"/>
        <v>0.12243525658072565</v>
      </c>
      <c r="F294" s="276">
        <f t="shared" si="18"/>
        <v>0.16213009636276909</v>
      </c>
      <c r="G294" s="276">
        <f t="shared" si="18"/>
        <v>0.18966525399995504</v>
      </c>
      <c r="H294" s="276">
        <f t="shared" si="18"/>
        <v>0.21546649954794936</v>
      </c>
      <c r="I294" s="276">
        <f t="shared" si="18"/>
        <v>0.24731784670725451</v>
      </c>
      <c r="J294" s="276">
        <f t="shared" si="18"/>
        <v>0.2699297808752803</v>
      </c>
      <c r="K294" s="276">
        <f t="shared" si="18"/>
        <v>0.31827222187169057</v>
      </c>
      <c r="L294" s="276">
        <f t="shared" si="18"/>
        <v>0.33753804680793353</v>
      </c>
    </row>
    <row r="295" spans="1:12" x14ac:dyDescent="0.35">
      <c r="A295" s="135" t="str">
        <f>+A282</f>
        <v>Sabhaya</v>
      </c>
      <c r="B295" s="276">
        <f t="shared" si="18"/>
        <v>-4.062942506061084E-2</v>
      </c>
      <c r="C295" s="276">
        <f t="shared" si="18"/>
        <v>0.15648998901426595</v>
      </c>
      <c r="D295" s="276">
        <f t="shared" si="18"/>
        <v>0.26492098189861119</v>
      </c>
      <c r="E295" s="276">
        <f t="shared" si="18"/>
        <v>0.3572392673496595</v>
      </c>
      <c r="F295" s="276">
        <f t="shared" si="18"/>
        <v>0.46418609626345936</v>
      </c>
      <c r="G295" s="276">
        <f t="shared" si="18"/>
        <v>0.53730115090094377</v>
      </c>
      <c r="H295" s="276">
        <f t="shared" si="18"/>
        <v>0.60550659415717834</v>
      </c>
      <c r="I295" s="276">
        <f t="shared" si="18"/>
        <v>0.68983377338299423</v>
      </c>
      <c r="J295" s="276">
        <f t="shared" si="18"/>
        <v>0.75009040763834434</v>
      </c>
      <c r="K295" s="276">
        <f t="shared" si="18"/>
        <v>0.88096544553607958</v>
      </c>
      <c r="L295" s="276">
        <f t="shared" si="18"/>
        <v>0.93418974675369915</v>
      </c>
    </row>
    <row r="296" spans="1:12" x14ac:dyDescent="0.35">
      <c r="A296" s="135" t="str">
        <f>+A283</f>
        <v>Hinwa</v>
      </c>
      <c r="B296" s="276">
        <f t="shared" si="18"/>
        <v>-2.6079050728915653E-2</v>
      </c>
      <c r="C296" s="276">
        <f t="shared" si="18"/>
        <v>9.8021323149821232E-2</v>
      </c>
      <c r="D296" s="276">
        <f t="shared" si="18"/>
        <v>0.16418403386648395</v>
      </c>
      <c r="E296" s="276">
        <f t="shared" si="18"/>
        <v>0.21938886820415571</v>
      </c>
      <c r="F296" s="276">
        <f t="shared" si="18"/>
        <v>0.28178573457764705</v>
      </c>
      <c r="G296" s="276">
        <f t="shared" si="18"/>
        <v>0.32329162099432301</v>
      </c>
      <c r="H296" s="276">
        <f t="shared" si="18"/>
        <v>0.36104210250320673</v>
      </c>
      <c r="I296" s="276">
        <f t="shared" si="18"/>
        <v>0.40630109301708822</v>
      </c>
      <c r="J296" s="276">
        <f t="shared" si="18"/>
        <v>0.43762730578077313</v>
      </c>
      <c r="K296" s="276">
        <f t="shared" si="18"/>
        <v>0.50265003540895214</v>
      </c>
      <c r="L296" s="276">
        <f t="shared" si="18"/>
        <v>0.52790491754953495</v>
      </c>
    </row>
    <row r="297" spans="1:12" x14ac:dyDescent="0.35">
      <c r="A297" s="135" t="str">
        <f>+A284</f>
        <v>Turkeghat</v>
      </c>
      <c r="B297" s="276">
        <f t="shared" si="18"/>
        <v>-2.5021660481035646E-2</v>
      </c>
      <c r="C297" s="276">
        <f t="shared" si="18"/>
        <v>9.7085137057832047E-2</v>
      </c>
      <c r="D297" s="276">
        <f t="shared" si="18"/>
        <v>0.16497577571507541</v>
      </c>
      <c r="E297" s="276">
        <f t="shared" si="18"/>
        <v>0.22315087192861516</v>
      </c>
      <c r="F297" s="276">
        <f t="shared" si="18"/>
        <v>0.29094879139288043</v>
      </c>
      <c r="G297" s="276">
        <f t="shared" si="18"/>
        <v>0.33753720402323595</v>
      </c>
      <c r="H297" s="276">
        <f t="shared" si="18"/>
        <v>0.38116393021250572</v>
      </c>
      <c r="I297" s="276">
        <f t="shared" si="18"/>
        <v>0.43531679499470927</v>
      </c>
      <c r="J297" s="276">
        <f t="shared" si="18"/>
        <v>0.47415213441870679</v>
      </c>
      <c r="K297" s="276">
        <f t="shared" si="18"/>
        <v>0.55888562916543871</v>
      </c>
      <c r="L297" s="276">
        <f t="shared" si="18"/>
        <v>0.59349014699101488</v>
      </c>
    </row>
    <row r="298" spans="1:12" x14ac:dyDescent="0.35">
      <c r="K298" s="146"/>
      <c r="L298" s="104"/>
    </row>
    <row r="299" spans="1:12" x14ac:dyDescent="0.35">
      <c r="K299" s="146"/>
      <c r="L299" s="104"/>
    </row>
    <row r="300" spans="1:12" x14ac:dyDescent="0.35">
      <c r="K300" s="146"/>
      <c r="L300" s="104"/>
    </row>
    <row r="301" spans="1:12" x14ac:dyDescent="0.35">
      <c r="K301" s="146"/>
      <c r="L301" s="104"/>
    </row>
    <row r="302" spans="1:12" x14ac:dyDescent="0.35">
      <c r="K302" s="146"/>
      <c r="L302" s="104"/>
    </row>
    <row r="303" spans="1:12" x14ac:dyDescent="0.35">
      <c r="K303" s="146"/>
      <c r="L303" s="104"/>
    </row>
    <row r="304" spans="1:12" x14ac:dyDescent="0.35">
      <c r="K304" s="177"/>
      <c r="L304" s="104"/>
    </row>
    <row r="305" spans="1:17" x14ac:dyDescent="0.35">
      <c r="K305" s="146"/>
      <c r="L305" s="104"/>
    </row>
    <row r="306" spans="1:17" x14ac:dyDescent="0.35">
      <c r="K306" s="146"/>
      <c r="L306" s="104"/>
    </row>
    <row r="307" spans="1:17" x14ac:dyDescent="0.35">
      <c r="K307" s="146"/>
      <c r="L307" s="104"/>
    </row>
    <row r="308" spans="1:17" x14ac:dyDescent="0.35">
      <c r="L308" s="104"/>
    </row>
    <row r="309" spans="1:17" x14ac:dyDescent="0.35">
      <c r="L309" s="104"/>
    </row>
    <row r="310" spans="1:17" x14ac:dyDescent="0.35">
      <c r="L310" s="104"/>
    </row>
    <row r="311" spans="1:17" x14ac:dyDescent="0.35">
      <c r="L311" s="104"/>
    </row>
    <row r="312" spans="1:17" x14ac:dyDescent="0.35">
      <c r="L312" s="104"/>
    </row>
    <row r="313" spans="1:17" x14ac:dyDescent="0.35">
      <c r="L313" s="104"/>
      <c r="N313" s="87" t="str">
        <f>+E271</f>
        <v>Q2.33</v>
      </c>
      <c r="O313" s="241" t="s">
        <v>139</v>
      </c>
      <c r="P313" s="241" t="s">
        <v>140</v>
      </c>
      <c r="Q313" s="241" t="s">
        <v>141</v>
      </c>
    </row>
    <row r="314" spans="1:17" ht="18.75" x14ac:dyDescent="0.35">
      <c r="A314" s="104" t="s">
        <v>131</v>
      </c>
      <c r="E314" s="277" t="s">
        <v>222</v>
      </c>
      <c r="L314" s="104"/>
      <c r="N314" s="135" t="s">
        <v>144</v>
      </c>
      <c r="O314" s="240">
        <f t="array" ref="O314:Q321">+LINEST(E273:E276,C273:C276^{1,2},TRUE,TRUE)</f>
        <v>5.5274421910359473E-5</v>
      </c>
      <c r="P314" s="132">
        <v>-0.84218529627684413</v>
      </c>
      <c r="Q314" s="132">
        <v>356.97880043981422</v>
      </c>
    </row>
    <row r="315" spans="1:17" ht="18.75" customHeight="1" x14ac:dyDescent="0.4">
      <c r="D315" s="172" t="s">
        <v>111</v>
      </c>
      <c r="E315" s="160" t="s">
        <v>269</v>
      </c>
      <c r="F315" s="160"/>
      <c r="L315" s="104"/>
      <c r="N315" s="135"/>
      <c r="O315" s="240">
        <v>1.5618745651381126E-5</v>
      </c>
      <c r="P315" s="132">
        <v>0.27355352074397682</v>
      </c>
      <c r="Q315" s="132">
        <v>212.00537583025312</v>
      </c>
    </row>
    <row r="316" spans="1:17" ht="18.75" x14ac:dyDescent="0.35">
      <c r="E316" s="138" t="s">
        <v>112</v>
      </c>
      <c r="F316" s="171"/>
      <c r="J316" s="170"/>
      <c r="L316" s="104"/>
      <c r="N316" s="135" t="s">
        <v>143</v>
      </c>
      <c r="O316" s="147">
        <v>0.98618712961153032</v>
      </c>
      <c r="P316" s="132">
        <v>273.36452057249016</v>
      </c>
      <c r="Q316" s="132" t="e">
        <v>#N/A</v>
      </c>
    </row>
    <row r="317" spans="1:17" x14ac:dyDescent="0.35">
      <c r="E317" s="138"/>
      <c r="F317" s="171"/>
      <c r="J317" s="170"/>
      <c r="K317" s="146"/>
      <c r="L317" s="104"/>
      <c r="N317" s="338" t="s">
        <v>145</v>
      </c>
      <c r="O317" s="132">
        <v>35.698124353456137</v>
      </c>
      <c r="P317" s="132">
        <v>1</v>
      </c>
      <c r="Q317" s="132" t="e">
        <v>#N/A</v>
      </c>
    </row>
    <row r="318" spans="1:17" ht="18.75" x14ac:dyDescent="0.35">
      <c r="A318" s="135" t="s">
        <v>262</v>
      </c>
      <c r="B318" s="135"/>
      <c r="C318" s="182">
        <f>H254</f>
        <v>16800.310000000001</v>
      </c>
      <c r="D318" s="135" t="s">
        <v>104</v>
      </c>
      <c r="E318" s="138"/>
      <c r="F318" s="171"/>
      <c r="J318" s="170"/>
      <c r="K318" s="146"/>
      <c r="L318" s="104"/>
      <c r="N318" s="339"/>
      <c r="O318" s="132">
        <v>5335310.3758646538</v>
      </c>
      <c r="P318" s="132">
        <v>74728.1611078274</v>
      </c>
      <c r="Q318" s="132" t="e">
        <v>#N/A</v>
      </c>
    </row>
    <row r="319" spans="1:17" x14ac:dyDescent="0.35">
      <c r="E319" s="138"/>
      <c r="F319" s="171"/>
      <c r="J319" s="170"/>
      <c r="K319" s="146"/>
      <c r="L319" s="104"/>
      <c r="N319" s="339"/>
      <c r="O319" s="132" t="e">
        <v>#N/A</v>
      </c>
      <c r="P319" s="132" t="e">
        <v>#N/A</v>
      </c>
      <c r="Q319" s="132" t="e">
        <v>#N/A</v>
      </c>
    </row>
    <row r="320" spans="1:17" x14ac:dyDescent="0.35">
      <c r="K320" s="146"/>
      <c r="L320" s="104"/>
      <c r="N320" s="339"/>
      <c r="O320" s="132" t="e">
        <v>#N/A</v>
      </c>
      <c r="P320" s="132" t="e">
        <v>#N/A</v>
      </c>
      <c r="Q320" s="132" t="e">
        <v>#N/A</v>
      </c>
    </row>
    <row r="321" spans="1:17" ht="21.75" x14ac:dyDescent="0.35">
      <c r="A321" s="334" t="s">
        <v>41</v>
      </c>
      <c r="B321" s="155" t="s">
        <v>113</v>
      </c>
      <c r="C321" s="155" t="s">
        <v>114</v>
      </c>
      <c r="D321" s="155" t="s">
        <v>115</v>
      </c>
      <c r="E321" s="155" t="s">
        <v>116</v>
      </c>
      <c r="F321" s="155" t="s">
        <v>117</v>
      </c>
      <c r="G321" s="155" t="s">
        <v>118</v>
      </c>
      <c r="H321" s="155" t="s">
        <v>119</v>
      </c>
      <c r="I321" s="155" t="s">
        <v>120</v>
      </c>
      <c r="J321" s="155" t="s">
        <v>121</v>
      </c>
      <c r="K321" s="279" t="s">
        <v>229</v>
      </c>
      <c r="L321" s="279" t="s">
        <v>226</v>
      </c>
      <c r="N321" s="340"/>
      <c r="O321" s="132" t="e">
        <v>#N/A</v>
      </c>
      <c r="P321" s="132" t="e">
        <v>#N/A</v>
      </c>
      <c r="Q321" s="132" t="e">
        <v>#N/A</v>
      </c>
    </row>
    <row r="322" spans="1:17" x14ac:dyDescent="0.35">
      <c r="A322" s="334"/>
      <c r="B322" s="156">
        <v>2</v>
      </c>
      <c r="C322" s="156">
        <v>5</v>
      </c>
      <c r="D322" s="156">
        <v>10</v>
      </c>
      <c r="E322" s="156">
        <v>20</v>
      </c>
      <c r="F322" s="156">
        <v>50</v>
      </c>
      <c r="G322" s="156">
        <v>100</v>
      </c>
      <c r="H322" s="156">
        <v>200</v>
      </c>
      <c r="I322" s="156">
        <v>500</v>
      </c>
      <c r="J322" s="156">
        <v>1000</v>
      </c>
      <c r="K322" s="156">
        <v>5000</v>
      </c>
      <c r="L322" s="156">
        <v>10000</v>
      </c>
      <c r="M322" s="183"/>
    </row>
    <row r="323" spans="1:17" x14ac:dyDescent="0.35">
      <c r="A323" s="135" t="s">
        <v>263</v>
      </c>
      <c r="B323" s="178">
        <f>($O$314* $C$318^2 + $P$314* $C$318 + $Q$314)*B288</f>
        <v>1705.864556670005</v>
      </c>
      <c r="C323" s="178">
        <f t="shared" ref="C323:L323" si="19">($O$314* $C$318^2 + $P$314* $C$318 + $Q$314)*C288</f>
        <v>2264.89494234627</v>
      </c>
      <c r="D323" s="178">
        <f t="shared" si="19"/>
        <v>2642.8630848400408</v>
      </c>
      <c r="E323" s="178">
        <f t="shared" si="19"/>
        <v>3011.4005343339504</v>
      </c>
      <c r="F323" s="178">
        <f t="shared" si="19"/>
        <v>3498.5332696678279</v>
      </c>
      <c r="G323" s="178">
        <f>($O$314* $C$318^2 + $P$314* $C$318 + $Q$314)*G288</f>
        <v>3872.2857622351303</v>
      </c>
      <c r="H323" s="178">
        <f t="shared" si="19"/>
        <v>4253.1835124897561</v>
      </c>
      <c r="I323" s="178">
        <f t="shared" si="19"/>
        <v>4770.301183087563</v>
      </c>
      <c r="J323" s="178">
        <f t="shared" si="19"/>
        <v>5173.3059193050913</v>
      </c>
      <c r="K323" s="178">
        <f t="shared" si="19"/>
        <v>6154.2055942157513</v>
      </c>
      <c r="L323" s="178">
        <f t="shared" si="19"/>
        <v>6598.2533371871414</v>
      </c>
      <c r="M323" s="183"/>
    </row>
    <row r="324" spans="1:17" x14ac:dyDescent="0.35">
      <c r="M324" s="184"/>
    </row>
    <row r="325" spans="1:17" x14ac:dyDescent="0.35">
      <c r="M325" s="184"/>
    </row>
    <row r="326" spans="1:17" x14ac:dyDescent="0.35">
      <c r="M326" s="184"/>
    </row>
    <row r="327" spans="1:17" x14ac:dyDescent="0.35">
      <c r="M327" s="183"/>
    </row>
    <row r="328" spans="1:17" x14ac:dyDescent="0.35">
      <c r="M328" s="184"/>
    </row>
    <row r="329" spans="1:17" x14ac:dyDescent="0.35">
      <c r="M329" s="183"/>
    </row>
    <row r="330" spans="1:17" x14ac:dyDescent="0.35">
      <c r="M330" s="183"/>
    </row>
    <row r="331" spans="1:17" x14ac:dyDescent="0.35">
      <c r="M331" s="184"/>
    </row>
    <row r="332" spans="1:17" x14ac:dyDescent="0.35">
      <c r="M332" s="183"/>
    </row>
    <row r="333" spans="1:17" x14ac:dyDescent="0.35">
      <c r="M333" s="183"/>
    </row>
    <row r="334" spans="1:17" x14ac:dyDescent="0.35">
      <c r="M334" s="184"/>
    </row>
    <row r="335" spans="1:17" x14ac:dyDescent="0.35">
      <c r="M335" s="327"/>
    </row>
    <row r="336" spans="1:17" x14ac:dyDescent="0.35">
      <c r="M336" s="327"/>
    </row>
    <row r="337" spans="2:13" x14ac:dyDescent="0.35">
      <c r="B337" s="146"/>
      <c r="C337" s="146"/>
      <c r="M337" s="327"/>
    </row>
    <row r="338" spans="2:13" x14ac:dyDescent="0.35">
      <c r="B338" s="146"/>
      <c r="C338" s="146"/>
      <c r="M338" s="183"/>
    </row>
    <row r="339" spans="2:13" x14ac:dyDescent="0.35">
      <c r="M339" s="185"/>
    </row>
    <row r="340" spans="2:13" x14ac:dyDescent="0.35">
      <c r="M340" s="186"/>
    </row>
  </sheetData>
  <mergeCells count="40">
    <mergeCell ref="P262:P263"/>
    <mergeCell ref="D270:O270"/>
    <mergeCell ref="D278:N278"/>
    <mergeCell ref="B124:N124"/>
    <mergeCell ref="B78:N78"/>
    <mergeCell ref="B101:N101"/>
    <mergeCell ref="B220:N220"/>
    <mergeCell ref="O262:O263"/>
    <mergeCell ref="A169:A170"/>
    <mergeCell ref="A1:M1"/>
    <mergeCell ref="A2:M2"/>
    <mergeCell ref="A53:A54"/>
    <mergeCell ref="A26:A27"/>
    <mergeCell ref="A78:A79"/>
    <mergeCell ref="B26:L26"/>
    <mergeCell ref="A101:A102"/>
    <mergeCell ref="A124:A125"/>
    <mergeCell ref="B169:N169"/>
    <mergeCell ref="B146:N146"/>
    <mergeCell ref="B53:N53"/>
    <mergeCell ref="A220:A221"/>
    <mergeCell ref="B192:N192"/>
    <mergeCell ref="A192:A193"/>
    <mergeCell ref="A321:A322"/>
    <mergeCell ref="A271:A272"/>
    <mergeCell ref="A279:A280"/>
    <mergeCell ref="A286:A287"/>
    <mergeCell ref="N317:N321"/>
    <mergeCell ref="E262:E263"/>
    <mergeCell ref="N262:N263"/>
    <mergeCell ref="B262:D262"/>
    <mergeCell ref="M335:M337"/>
    <mergeCell ref="L262:L263"/>
    <mergeCell ref="H262:H263"/>
    <mergeCell ref="G262:G263"/>
    <mergeCell ref="F262:F263"/>
    <mergeCell ref="K262:K263"/>
    <mergeCell ref="I262:I263"/>
    <mergeCell ref="J262:J263"/>
    <mergeCell ref="M262:M263"/>
  </mergeCells>
  <pageMargins left="0.7" right="0.7" top="0.75" bottom="0.75" header="0.3" footer="0.3"/>
  <pageSetup paperSize="9" scale="42" orientation="portrait" r:id="rId1"/>
  <colBreaks count="2" manualBreakCount="2">
    <brk id="12" max="49" man="1"/>
    <brk id="29" max="49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>
    <tabColor theme="4" tint="-0.249977111117893"/>
  </sheetPr>
  <dimension ref="A1:U166"/>
  <sheetViews>
    <sheetView tabSelected="1" topLeftCell="A113" zoomScale="70" zoomScaleNormal="70" workbookViewId="0">
      <selection activeCell="N144" sqref="N144"/>
    </sheetView>
  </sheetViews>
  <sheetFormatPr defaultRowHeight="15" x14ac:dyDescent="0.3"/>
  <cols>
    <col min="1" max="1" width="28.5703125" style="215" customWidth="1"/>
    <col min="2" max="2" width="17.140625" style="215" customWidth="1"/>
    <col min="3" max="3" width="10.7109375" style="215" customWidth="1"/>
    <col min="4" max="4" width="11.140625" style="215" bestFit="1" customWidth="1"/>
    <col min="5" max="5" width="10.140625" style="215" customWidth="1"/>
    <col min="6" max="6" width="10.42578125" style="215" customWidth="1"/>
    <col min="7" max="7" width="10.85546875" style="215" customWidth="1"/>
    <col min="8" max="9" width="11.5703125" style="215" bestFit="1" customWidth="1"/>
    <col min="10" max="10" width="12.7109375" style="215" customWidth="1"/>
    <col min="11" max="11" width="15.28515625" style="215" bestFit="1" customWidth="1"/>
    <col min="12" max="12" width="11.5703125" style="215" customWidth="1"/>
    <col min="13" max="13" width="11.28515625" style="215" customWidth="1"/>
    <col min="14" max="14" width="11.5703125" style="215" bestFit="1" customWidth="1"/>
    <col min="15" max="17" width="9.140625" style="215"/>
    <col min="18" max="18" width="19.28515625" style="215" customWidth="1"/>
    <col min="19" max="19" width="20.7109375" style="215" customWidth="1"/>
    <col min="20" max="20" width="9.140625" style="215"/>
    <col min="21" max="21" width="18.5703125" style="215" customWidth="1"/>
    <col min="22" max="22" width="19.85546875" style="215" customWidth="1"/>
    <col min="23" max="16384" width="9.140625" style="215"/>
  </cols>
  <sheetData>
    <row r="1" spans="1:14" ht="17.25" x14ac:dyDescent="0.35">
      <c r="A1" s="354" t="s">
        <v>65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</row>
    <row r="2" spans="1:14" ht="17.25" x14ac:dyDescent="0.35">
      <c r="A2" s="354" t="s">
        <v>221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</row>
    <row r="3" spans="1:14" ht="18" customHeight="1" x14ac:dyDescent="0.35">
      <c r="A3" s="259" t="s">
        <v>212</v>
      </c>
      <c r="B3" s="259"/>
      <c r="C3" s="259"/>
      <c r="D3" s="259"/>
      <c r="E3" s="259"/>
      <c r="F3" s="259"/>
      <c r="G3" s="213"/>
      <c r="H3" s="213"/>
      <c r="I3" s="213"/>
      <c r="J3" s="259"/>
      <c r="K3" s="213"/>
      <c r="L3" s="213"/>
    </row>
    <row r="4" spans="1:14" ht="17.25" x14ac:dyDescent="0.35">
      <c r="A4" s="213" t="s">
        <v>213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</row>
    <row r="5" spans="1:14" ht="17.25" x14ac:dyDescent="0.35">
      <c r="A5" s="260" t="s">
        <v>13</v>
      </c>
      <c r="B5" s="261">
        <v>43343</v>
      </c>
      <c r="C5" s="261"/>
      <c r="D5" s="213"/>
      <c r="E5" s="213"/>
      <c r="F5" s="213"/>
      <c r="G5" s="213"/>
      <c r="H5" s="213"/>
      <c r="I5" s="213"/>
      <c r="J5" s="213"/>
      <c r="K5" s="213"/>
      <c r="L5" s="213"/>
    </row>
    <row r="6" spans="1:14" ht="17.25" x14ac:dyDescent="0.35">
      <c r="A6" s="213" t="s">
        <v>152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</row>
    <row r="7" spans="1:14" ht="17.25" x14ac:dyDescent="0.35">
      <c r="A7" s="262" t="s">
        <v>218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</row>
    <row r="8" spans="1:14" ht="17.25" x14ac:dyDescent="0.35">
      <c r="A8" s="112" t="str">
        <f>'Regional flood frequency analys'!A51</f>
        <v>1) Sabhaya at Tumlingtar (602)</v>
      </c>
      <c r="B8" s="114"/>
      <c r="C8" s="117"/>
      <c r="D8" s="104"/>
      <c r="E8" s="117"/>
      <c r="F8" s="117"/>
      <c r="G8" s="117"/>
      <c r="H8" s="117"/>
      <c r="I8" s="117"/>
      <c r="J8" s="117"/>
      <c r="K8" s="117"/>
      <c r="L8" s="117"/>
      <c r="M8" s="245"/>
    </row>
    <row r="9" spans="1:14" ht="17.25" x14ac:dyDescent="0.35">
      <c r="A9" s="104"/>
      <c r="B9" s="118"/>
      <c r="C9" s="118"/>
      <c r="D9" s="104"/>
      <c r="E9" s="118"/>
      <c r="F9" s="118"/>
      <c r="G9" s="118"/>
      <c r="H9" s="118"/>
      <c r="I9" s="118"/>
      <c r="J9" s="118"/>
      <c r="K9" s="118"/>
      <c r="L9" s="118"/>
      <c r="M9" s="245"/>
    </row>
    <row r="10" spans="1:14" ht="17.25" x14ac:dyDescent="0.35">
      <c r="A10" s="330" t="s">
        <v>0</v>
      </c>
      <c r="B10" s="353" t="s">
        <v>1</v>
      </c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</row>
    <row r="11" spans="1:14" ht="17.25" x14ac:dyDescent="0.35">
      <c r="A11" s="331"/>
      <c r="B11" s="192">
        <v>1</v>
      </c>
      <c r="C11" s="192">
        <v>2</v>
      </c>
      <c r="D11" s="192">
        <v>2.33</v>
      </c>
      <c r="E11" s="192">
        <v>5</v>
      </c>
      <c r="F11" s="192">
        <v>10</v>
      </c>
      <c r="G11" s="192">
        <v>20</v>
      </c>
      <c r="H11" s="192">
        <v>50</v>
      </c>
      <c r="I11" s="192">
        <v>100</v>
      </c>
      <c r="J11" s="192">
        <v>200</v>
      </c>
      <c r="K11" s="192">
        <v>500</v>
      </c>
      <c r="L11" s="192">
        <v>1000</v>
      </c>
      <c r="M11" s="192">
        <v>5000</v>
      </c>
      <c r="N11" s="192">
        <v>10000</v>
      </c>
    </row>
    <row r="12" spans="1:14" ht="17.25" x14ac:dyDescent="0.35">
      <c r="A12" s="115" t="s">
        <v>8</v>
      </c>
      <c r="B12" s="123">
        <f>'Regional flood frequency analys'!B55</f>
        <v>57.158055267065038</v>
      </c>
      <c r="C12" s="123">
        <f>'Regional flood frequency analys'!C55</f>
        <v>213.15253905200939</v>
      </c>
      <c r="D12" s="123">
        <f>'Regional flood frequency analys'!D55</f>
        <v>233.97028877787514</v>
      </c>
      <c r="E12" s="123">
        <f>'Regional flood frequency analys'!E55</f>
        <v>331.05281186580021</v>
      </c>
      <c r="F12" s="123">
        <f>'Regional flood frequency analys'!F55</f>
        <v>416.81317130861322</v>
      </c>
      <c r="G12" s="123">
        <f>'Regional flood frequency analys'!G55</f>
        <v>504.12295393693108</v>
      </c>
      <c r="H12" s="123">
        <f>'Regional flood frequency analys'!H55</f>
        <v>624.40916039663659</v>
      </c>
      <c r="I12" s="123">
        <f>'Regional flood frequency analys'!I55</f>
        <v>720.1318268818294</v>
      </c>
      <c r="J12" s="123">
        <f>'Regional flood frequency analys'!J55</f>
        <v>820.5314170936748</v>
      </c>
      <c r="K12" s="123">
        <f>'Regional flood frequency analys'!K55</f>
        <v>961.1266916405807</v>
      </c>
      <c r="L12" s="123">
        <f>'Regional flood frequency analys'!L55</f>
        <v>1073.8842560568332</v>
      </c>
      <c r="M12" s="123">
        <f>'Regional flood frequency analys'!M55</f>
        <v>1358.7786505301519</v>
      </c>
      <c r="N12" s="123">
        <f>'Regional flood frequency analys'!N55</f>
        <v>1492.0930645913115</v>
      </c>
    </row>
    <row r="13" spans="1:14" ht="17.25" x14ac:dyDescent="0.35">
      <c r="A13" s="310" t="s">
        <v>9</v>
      </c>
      <c r="B13" s="124">
        <f>'Regional flood frequency analys'!B56</f>
        <v>63.909732208790039</v>
      </c>
      <c r="C13" s="124">
        <f>'Regional flood frequency analys'!C56</f>
        <v>208.72311928241675</v>
      </c>
      <c r="D13" s="124">
        <f>'Regional flood frequency analys'!D56</f>
        <v>229.19227819315168</v>
      </c>
      <c r="E13" s="124">
        <f>'Regional flood frequency analys'!E56</f>
        <v>328.61695761715146</v>
      </c>
      <c r="F13" s="124">
        <f>'Regional flood frequency analys'!F56</f>
        <v>421.81397434430409</v>
      </c>
      <c r="G13" s="124">
        <f>'Regional flood frequency analys'!G56</f>
        <v>521.7221182634928</v>
      </c>
      <c r="H13" s="124">
        <f>'Regional flood frequency analys'!H56</f>
        <v>667.3998086767142</v>
      </c>
      <c r="I13" s="124">
        <f>'Regional flood frequency analys'!I56</f>
        <v>789.77090878732395</v>
      </c>
      <c r="J13" s="124">
        <f>'Regional flood frequency analys'!J56</f>
        <v>924.07362705970502</v>
      </c>
      <c r="K13" s="124">
        <f>'Regional flood frequency analys'!K56</f>
        <v>1122.1056650270341</v>
      </c>
      <c r="L13" s="124">
        <f>'Regional flood frequency analys'!L56</f>
        <v>1289.1112224289388</v>
      </c>
      <c r="M13" s="124">
        <f>'Regional flood frequency analys'!M56</f>
        <v>1742.4704713500792</v>
      </c>
      <c r="N13" s="124">
        <f>'Regional flood frequency analys'!N56</f>
        <v>1969.6530292179168</v>
      </c>
    </row>
    <row r="14" spans="1:14" ht="17.25" x14ac:dyDescent="0.35">
      <c r="A14" s="115" t="s">
        <v>7</v>
      </c>
      <c r="B14" s="123" t="str">
        <f>+'Regional flood frequency analys'!B173</f>
        <v>-</v>
      </c>
      <c r="C14" s="123">
        <f>'Regional flood frequency analys'!C57</f>
        <v>222.04711906078251</v>
      </c>
      <c r="D14" s="123">
        <f>'Regional flood frequency analys'!D57</f>
        <v>244.40554609037258</v>
      </c>
      <c r="E14" s="123">
        <f>'Regional flood frequency analys'!E57</f>
        <v>341.54069127328745</v>
      </c>
      <c r="F14" s="123">
        <f>'Regional flood frequency analys'!F57</f>
        <v>420.65583355675994</v>
      </c>
      <c r="G14" s="123">
        <f>'Regional flood frequency analys'!G57</f>
        <v>496.54497747481309</v>
      </c>
      <c r="H14" s="123">
        <f>'Regional flood frequency analys'!H57</f>
        <v>594.77569000721576</v>
      </c>
      <c r="I14" s="123">
        <f>'Regional flood frequency analys'!I57</f>
        <v>668.38578589865574</v>
      </c>
      <c r="J14" s="123">
        <f>'Regional flood frequency analys'!J57</f>
        <v>741.72729091500298</v>
      </c>
      <c r="K14" s="123">
        <f>'Regional flood frequency analys'!K57</f>
        <v>838.4874803494647</v>
      </c>
      <c r="L14" s="123">
        <f>'Regional flood frequency analys'!L57</f>
        <v>911.61653886747706</v>
      </c>
      <c r="M14" s="123">
        <f>'Regional flood frequency analys'!M57</f>
        <v>1081.3365962877986</v>
      </c>
      <c r="N14" s="123">
        <f>'Regional flood frequency analys'!N57</f>
        <v>1154.4181474272866</v>
      </c>
    </row>
    <row r="15" spans="1:14" ht="17.25" x14ac:dyDescent="0.35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246"/>
    </row>
    <row r="16" spans="1:14" ht="17.25" x14ac:dyDescent="0.35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246"/>
    </row>
    <row r="17" spans="1:13" ht="17.25" x14ac:dyDescent="0.35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246"/>
    </row>
    <row r="18" spans="1:13" ht="17.25" x14ac:dyDescent="0.35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246"/>
    </row>
    <row r="19" spans="1:13" ht="17.25" x14ac:dyDescent="0.35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246"/>
    </row>
    <row r="20" spans="1:13" ht="17.25" x14ac:dyDescent="0.35">
      <c r="A20" s="127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246"/>
    </row>
    <row r="21" spans="1:13" ht="17.25" x14ac:dyDescent="0.35">
      <c r="A21" s="127"/>
      <c r="B21" s="118"/>
      <c r="C21" s="117"/>
      <c r="D21" s="104"/>
      <c r="E21" s="117"/>
      <c r="F21" s="117"/>
      <c r="G21" s="117"/>
      <c r="H21" s="117"/>
      <c r="I21" s="117"/>
      <c r="J21" s="117"/>
      <c r="K21" s="117"/>
      <c r="L21" s="117"/>
      <c r="M21" s="246"/>
    </row>
    <row r="22" spans="1:13" ht="17.25" x14ac:dyDescent="0.35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246"/>
    </row>
    <row r="23" spans="1:13" ht="17.25" x14ac:dyDescent="0.35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246"/>
    </row>
    <row r="24" spans="1:13" ht="17.25" x14ac:dyDescent="0.3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246"/>
    </row>
    <row r="25" spans="1:13" ht="17.25" x14ac:dyDescent="0.3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246"/>
    </row>
    <row r="26" spans="1:13" ht="17.25" x14ac:dyDescent="0.35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246"/>
    </row>
    <row r="27" spans="1:13" ht="17.25" x14ac:dyDescent="0.3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11"/>
      <c r="M27" s="246"/>
    </row>
    <row r="28" spans="1:13" ht="17.25" x14ac:dyDescent="0.3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11"/>
      <c r="M28" s="246"/>
    </row>
    <row r="29" spans="1:13" ht="17.25" x14ac:dyDescent="0.3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11"/>
      <c r="M29" s="246"/>
    </row>
    <row r="30" spans="1:13" x14ac:dyDescent="0.3">
      <c r="A30" s="246"/>
      <c r="B30" s="247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6"/>
    </row>
    <row r="31" spans="1:13" x14ac:dyDescent="0.3">
      <c r="A31" s="246"/>
      <c r="B31" s="247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6"/>
    </row>
    <row r="32" spans="1:13" x14ac:dyDescent="0.3">
      <c r="A32" s="244" t="str">
        <f>'Regional flood frequency analys'!A76</f>
        <v>2) Hinwa (602.5)</v>
      </c>
      <c r="L32" s="245"/>
      <c r="M32" s="245"/>
    </row>
    <row r="33" spans="1:14" x14ac:dyDescent="0.3">
      <c r="L33" s="245"/>
      <c r="M33" s="245"/>
    </row>
    <row r="34" spans="1:14" ht="17.25" x14ac:dyDescent="0.35">
      <c r="A34" s="330" t="s">
        <v>0</v>
      </c>
      <c r="B34" s="353" t="s">
        <v>1</v>
      </c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</row>
    <row r="35" spans="1:14" ht="17.25" x14ac:dyDescent="0.35">
      <c r="A35" s="331"/>
      <c r="B35" s="280">
        <f>+B11</f>
        <v>1</v>
      </c>
      <c r="C35" s="280">
        <f t="shared" ref="C35:L35" si="0">+C11</f>
        <v>2</v>
      </c>
      <c r="D35" s="280">
        <f t="shared" si="0"/>
        <v>2.33</v>
      </c>
      <c r="E35" s="280">
        <f t="shared" si="0"/>
        <v>5</v>
      </c>
      <c r="F35" s="280">
        <f t="shared" si="0"/>
        <v>10</v>
      </c>
      <c r="G35" s="280">
        <f t="shared" si="0"/>
        <v>20</v>
      </c>
      <c r="H35" s="280">
        <f t="shared" si="0"/>
        <v>50</v>
      </c>
      <c r="I35" s="280">
        <f t="shared" si="0"/>
        <v>100</v>
      </c>
      <c r="J35" s="280">
        <f t="shared" si="0"/>
        <v>200</v>
      </c>
      <c r="K35" s="280">
        <f t="shared" si="0"/>
        <v>500</v>
      </c>
      <c r="L35" s="280">
        <f t="shared" si="0"/>
        <v>1000</v>
      </c>
      <c r="M35" s="280">
        <v>5000</v>
      </c>
      <c r="N35" s="280">
        <v>10000</v>
      </c>
    </row>
    <row r="36" spans="1:14" ht="17.25" x14ac:dyDescent="0.35">
      <c r="A36" s="115" t="s">
        <v>214</v>
      </c>
      <c r="B36" s="315">
        <f>'Regional flood frequency analys'!B80</f>
        <v>15.951153579774674</v>
      </c>
      <c r="C36" s="315">
        <f>'Regional flood frequency analys'!C80</f>
        <v>42.577130397333633</v>
      </c>
      <c r="D36" s="315">
        <f>'Regional flood frequency analys'!D80</f>
        <v>45.641971161295515</v>
      </c>
      <c r="E36" s="315">
        <f>'Regional flood frequency analys'!E80</f>
        <v>59.129413881409512</v>
      </c>
      <c r="F36" s="315">
        <f>'Regional flood frequency analys'!F80</f>
        <v>70.214963872933595</v>
      </c>
      <c r="G36" s="315">
        <f>'Regional flood frequency analys'!G80</f>
        <v>80.917029594133382</v>
      </c>
      <c r="H36" s="315">
        <f>'Regional flood frequency analys'!H80</f>
        <v>94.920812244672803</v>
      </c>
      <c r="I36" s="315">
        <f>'Regional flood frequency analys'!I80</f>
        <v>105.57631447132336</v>
      </c>
      <c r="J36" s="315">
        <f>'Regional flood frequency analys'!J80</f>
        <v>116.37194637625507</v>
      </c>
      <c r="K36" s="315">
        <f>'Regional flood frequency analys'!K80</f>
        <v>130.94319439345239</v>
      </c>
      <c r="L36" s="315">
        <f>'Regional flood frequency analys'!L80</f>
        <v>142.23928486266499</v>
      </c>
      <c r="M36" s="315">
        <f>'Regional flood frequency analys'!M80</f>
        <v>169.53026550489457</v>
      </c>
      <c r="N36" s="315">
        <f>'Regional flood frequency analys'!N80</f>
        <v>181.78886327982059</v>
      </c>
    </row>
    <row r="37" spans="1:14" ht="17.25" x14ac:dyDescent="0.35">
      <c r="A37" s="115" t="s">
        <v>215</v>
      </c>
      <c r="B37" s="315">
        <f>'Regional flood frequency analys'!B81</f>
        <v>12.825804868029152</v>
      </c>
      <c r="C37" s="315">
        <f>'Regional flood frequency analys'!C81</f>
        <v>44.344889420037198</v>
      </c>
      <c r="D37" s="315">
        <f>'Regional flood frequency analys'!D81</f>
        <v>47.403206648033475</v>
      </c>
      <c r="E37" s="315">
        <f>'Regional flood frequency analys'!E81</f>
        <v>59.4543501119458</v>
      </c>
      <c r="F37" s="315">
        <f>'Regional flood frequency analys'!F81</f>
        <v>67.856742666381422</v>
      </c>
      <c r="G37" s="315">
        <f>'Regional flood frequency analys'!G81</f>
        <v>74.906371941649638</v>
      </c>
      <c r="H37" s="315">
        <f>'Regional flood frequency analys'!H81</f>
        <v>82.836814689646829</v>
      </c>
      <c r="I37" s="315">
        <f>'Regional flood frequency analys'!I81</f>
        <v>88.059088017740635</v>
      </c>
      <c r="J37" s="315">
        <f>'Regional flood frequency analys'!J81</f>
        <v>92.755247904493885</v>
      </c>
      <c r="K37" s="315">
        <f>'Regional flood frequency analys'!K81</f>
        <v>98.298929341233631</v>
      </c>
      <c r="L37" s="315">
        <f>'Regional flood frequency analys'!L81</f>
        <v>102.06810674481247</v>
      </c>
      <c r="M37" s="315">
        <f>'Regional flood frequency analys'!M81</f>
        <v>109.66579975735466</v>
      </c>
      <c r="N37" s="315">
        <f>'Regional flood frequency analys'!N81</f>
        <v>112.51686246532758</v>
      </c>
    </row>
    <row r="38" spans="1:14" ht="15.75" customHeight="1" x14ac:dyDescent="0.35">
      <c r="A38" s="120" t="s">
        <v>216</v>
      </c>
      <c r="B38" s="122" t="str">
        <f>'Regional flood frequency analys'!B82</f>
        <v>-</v>
      </c>
      <c r="C38" s="122">
        <f>'Regional flood frequency analys'!C82</f>
        <v>42.938933036017502</v>
      </c>
      <c r="D38" s="122">
        <f>'Regional flood frequency analys'!D82</f>
        <v>45.59637317870736</v>
      </c>
      <c r="E38" s="122">
        <f>'Regional flood frequency analys'!E82</f>
        <v>57.141498143601538</v>
      </c>
      <c r="F38" s="122">
        <f>'Regional flood frequency analys'!F82</f>
        <v>66.544832050788926</v>
      </c>
      <c r="G38" s="122">
        <f>'Regional flood frequency analys'!G82</f>
        <v>75.564735694963105</v>
      </c>
      <c r="H38" s="122">
        <f>'Regional flood frequency analys'!H82</f>
        <v>87.240075752792762</v>
      </c>
      <c r="I38" s="122">
        <f>'Regional flood frequency analys'!I82</f>
        <v>95.98910015733955</v>
      </c>
      <c r="J38" s="122">
        <f>'Regional flood frequency analys'!J82</f>
        <v>104.70620084147045</v>
      </c>
      <c r="K38" s="122">
        <f>'Regional flood frequency analys'!K82</f>
        <v>116.20675994954684</v>
      </c>
      <c r="L38" s="122">
        <f>'Regional flood frequency analys'!L82</f>
        <v>124.89861002673202</v>
      </c>
      <c r="M38" s="122">
        <f>'Regional flood frequency analys'!M82</f>
        <v>145.07090984959029</v>
      </c>
      <c r="N38" s="122">
        <f>'Regional flood frequency analys'!N82</f>
        <v>153.75711337504814</v>
      </c>
    </row>
    <row r="39" spans="1:14" x14ac:dyDescent="0.3">
      <c r="A39" s="246"/>
      <c r="L39" s="247"/>
      <c r="M39" s="245"/>
    </row>
    <row r="40" spans="1:14" x14ac:dyDescent="0.3">
      <c r="M40" s="245"/>
    </row>
    <row r="41" spans="1:14" x14ac:dyDescent="0.3">
      <c r="L41" s="248"/>
      <c r="M41" s="245"/>
    </row>
    <row r="42" spans="1:14" x14ac:dyDescent="0.3">
      <c r="L42" s="248"/>
      <c r="M42" s="245"/>
    </row>
    <row r="43" spans="1:14" x14ac:dyDescent="0.3">
      <c r="A43" s="249"/>
      <c r="B43" s="245"/>
      <c r="C43" s="250"/>
      <c r="D43" s="250"/>
      <c r="E43" s="250"/>
      <c r="F43" s="250"/>
      <c r="G43" s="250"/>
      <c r="H43" s="250"/>
      <c r="I43" s="250"/>
      <c r="J43" s="250"/>
      <c r="K43" s="250"/>
      <c r="L43" s="250"/>
      <c r="M43" s="245"/>
    </row>
    <row r="44" spans="1:14" x14ac:dyDescent="0.3">
      <c r="A44" s="249"/>
      <c r="B44" s="245"/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45"/>
    </row>
    <row r="56" spans="1:14" x14ac:dyDescent="0.3">
      <c r="A56" s="244" t="str">
        <f>'Regional flood frequency analys'!A99</f>
        <v>3) Arun River at Turkeghat (604.5)</v>
      </c>
      <c r="L56" s="245"/>
      <c r="M56" s="245"/>
    </row>
    <row r="57" spans="1:14" x14ac:dyDescent="0.3">
      <c r="L57" s="245"/>
      <c r="M57" s="245"/>
    </row>
    <row r="58" spans="1:14" ht="17.25" x14ac:dyDescent="0.35">
      <c r="A58" s="330" t="s">
        <v>0</v>
      </c>
      <c r="B58" s="353" t="s">
        <v>1</v>
      </c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</row>
    <row r="59" spans="1:14" ht="17.25" x14ac:dyDescent="0.35">
      <c r="A59" s="331"/>
      <c r="B59" s="280">
        <f>+B35</f>
        <v>1</v>
      </c>
      <c r="C59" s="280">
        <f t="shared" ref="C59:L59" si="1">+C35</f>
        <v>2</v>
      </c>
      <c r="D59" s="280">
        <f t="shared" si="1"/>
        <v>2.33</v>
      </c>
      <c r="E59" s="280">
        <f t="shared" si="1"/>
        <v>5</v>
      </c>
      <c r="F59" s="280">
        <f t="shared" si="1"/>
        <v>10</v>
      </c>
      <c r="G59" s="280">
        <f t="shared" si="1"/>
        <v>20</v>
      </c>
      <c r="H59" s="280">
        <f t="shared" si="1"/>
        <v>50</v>
      </c>
      <c r="I59" s="280">
        <f t="shared" si="1"/>
        <v>100</v>
      </c>
      <c r="J59" s="280">
        <f t="shared" si="1"/>
        <v>200</v>
      </c>
      <c r="K59" s="280">
        <f t="shared" si="1"/>
        <v>500</v>
      </c>
      <c r="L59" s="280">
        <f t="shared" si="1"/>
        <v>1000</v>
      </c>
      <c r="M59" s="280">
        <v>5000</v>
      </c>
      <c r="N59" s="280">
        <v>10000</v>
      </c>
    </row>
    <row r="60" spans="1:14" ht="17.25" x14ac:dyDescent="0.35">
      <c r="A60" s="115" t="s">
        <v>214</v>
      </c>
      <c r="B60" s="311">
        <f>'Regional flood frequency analys'!B103</f>
        <v>1264.0411211807627</v>
      </c>
      <c r="C60" s="311">
        <f>'Regional flood frequency analys'!C103</f>
        <v>2843.0881875132391</v>
      </c>
      <c r="D60" s="311">
        <f>'Regional flood frequency analys'!D103</f>
        <v>3011.0224291771879</v>
      </c>
      <c r="E60" s="311">
        <f>'Regional flood frequency analys'!E103</f>
        <v>3728.5968585209721</v>
      </c>
      <c r="F60" s="311">
        <f>'Regional flood frequency analys'!F103</f>
        <v>4296.925608290333</v>
      </c>
      <c r="G60" s="311">
        <f>'Regional flood frequency analys'!G103</f>
        <v>4830.8568187083038</v>
      </c>
      <c r="H60" s="311">
        <f>'Regional flood frequency analys'!H103</f>
        <v>5511.3377307575402</v>
      </c>
      <c r="I60" s="311">
        <f>'Regional flood frequency analys'!I103</f>
        <v>6017.3405872898466</v>
      </c>
      <c r="J60" s="311">
        <f>'Regional flood frequency analys'!J103</f>
        <v>6520.9830150438675</v>
      </c>
      <c r="K60" s="311">
        <f>'Regional flood frequency analys'!K103</f>
        <v>7188.083843681321</v>
      </c>
      <c r="L60" s="311">
        <f>'Regional flood frequency analys'!L103</f>
        <v>7696.3169096009533</v>
      </c>
      <c r="M60" s="311">
        <f>'Regional flood frequency analys'!M103</f>
        <v>8896.4682934901903</v>
      </c>
      <c r="N60" s="311">
        <f>'Regional flood frequency analys'!N103</f>
        <v>9424.3259575007178</v>
      </c>
    </row>
    <row r="61" spans="1:14" ht="17.25" x14ac:dyDescent="0.35">
      <c r="A61" s="115" t="s">
        <v>215</v>
      </c>
      <c r="B61" s="311">
        <f>'Regional flood frequency analys'!B104</f>
        <v>1374.5939705101855</v>
      </c>
      <c r="C61" s="311">
        <f>'Regional flood frequency analys'!C104</f>
        <v>2798.584155022234</v>
      </c>
      <c r="D61" s="311">
        <f>'Regional flood frequency analys'!D104</f>
        <v>2964.5585453983908</v>
      </c>
      <c r="E61" s="311">
        <f>'Regional flood frequency analys'!E104</f>
        <v>3707.1927614848119</v>
      </c>
      <c r="F61" s="311">
        <f>'Regional flood frequency analys'!F104</f>
        <v>4334.4680606506599</v>
      </c>
      <c r="G61" s="311">
        <f>'Regional flood frequency analys'!G104</f>
        <v>4955.7672728051257</v>
      </c>
      <c r="H61" s="311">
        <f>'Regional flood frequency analys'!H104</f>
        <v>5793.0706203962409</v>
      </c>
      <c r="I61" s="311">
        <f>'Regional flood frequency analys'!I104</f>
        <v>6449.0721459088163</v>
      </c>
      <c r="J61" s="311">
        <f>'Regional flood frequency analys'!J104</f>
        <v>7130.5653035371224</v>
      </c>
      <c r="K61" s="311">
        <f>'Regional flood frequency analys'!K104</f>
        <v>8077.4973906914993</v>
      </c>
      <c r="L61" s="311">
        <f>'Regional flood frequency analys'!L104</f>
        <v>8833.080041107647</v>
      </c>
      <c r="M61" s="311">
        <f>'Regional flood frequency analys'!M104</f>
        <v>10736.078061451466</v>
      </c>
      <c r="N61" s="311">
        <f>'Regional flood frequency analys'!N104</f>
        <v>11626.531655402445</v>
      </c>
    </row>
    <row r="62" spans="1:14" ht="17.25" x14ac:dyDescent="0.35">
      <c r="A62" s="120" t="s">
        <v>216</v>
      </c>
      <c r="B62" s="316" t="str">
        <f>'Regional flood frequency analys'!B105</f>
        <v>-</v>
      </c>
      <c r="C62" s="316">
        <f>'Regional flood frequency analys'!C105</f>
        <v>2825.3623019180159</v>
      </c>
      <c r="D62" s="316">
        <f>'Regional flood frequency analys'!D105</f>
        <v>2995.3354945597016</v>
      </c>
      <c r="E62" s="316">
        <f>'Regional flood frequency analys'!E105</f>
        <v>3733.7761157448676</v>
      </c>
      <c r="F62" s="316">
        <f>'Regional flood frequency analys'!F105</f>
        <v>4335.2251041923164</v>
      </c>
      <c r="G62" s="316">
        <f>'Regional flood frequency analys'!G105</f>
        <v>4912.1494138284379</v>
      </c>
      <c r="H62" s="316">
        <f>'Regional flood frequency analys'!H105</f>
        <v>5658.9187550930619</v>
      </c>
      <c r="I62" s="316">
        <f>'Regional flood frequency analys'!I105</f>
        <v>6218.5172900333837</v>
      </c>
      <c r="J62" s="316">
        <f>'Regional flood frequency analys'!J105</f>
        <v>6776.0739439194822</v>
      </c>
      <c r="K62" s="316">
        <f>'Regional flood frequency analys'!K105</f>
        <v>7511.6640772067476</v>
      </c>
      <c r="L62" s="316">
        <f>'Regional flood frequency analys'!L105</f>
        <v>8067.6056707158459</v>
      </c>
      <c r="M62" s="316">
        <f>'Regional flood frequency analys'!M105</f>
        <v>9357.851177561377</v>
      </c>
      <c r="N62" s="316">
        <f>'Regional flood frequency analys'!N105</f>
        <v>9913.4316105652633</v>
      </c>
    </row>
    <row r="63" spans="1:14" x14ac:dyDescent="0.3">
      <c r="A63" s="246"/>
      <c r="L63" s="247"/>
      <c r="M63" s="245"/>
    </row>
    <row r="64" spans="1:14" x14ac:dyDescent="0.3">
      <c r="M64" s="245"/>
    </row>
    <row r="65" spans="1:14" x14ac:dyDescent="0.3">
      <c r="L65" s="248"/>
      <c r="M65" s="245"/>
    </row>
    <row r="66" spans="1:14" x14ac:dyDescent="0.3">
      <c r="L66" s="248"/>
      <c r="M66" s="245"/>
    </row>
    <row r="67" spans="1:14" x14ac:dyDescent="0.3">
      <c r="A67" s="249"/>
      <c r="B67" s="245"/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45"/>
    </row>
    <row r="68" spans="1:14" x14ac:dyDescent="0.3">
      <c r="A68" s="249"/>
      <c r="B68" s="245"/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45"/>
    </row>
    <row r="80" spans="1:14" ht="17.25" x14ac:dyDescent="0.35">
      <c r="A80" s="112" t="str">
        <f>'Regional regression analysis'!A126</f>
        <v>4)Arun River at Uwa gaon (600.1)</v>
      </c>
      <c r="B80" s="114"/>
      <c r="C80" s="117"/>
      <c r="D80" s="104"/>
      <c r="E80" s="117"/>
      <c r="F80" s="117"/>
      <c r="G80" s="117"/>
      <c r="H80" s="117"/>
      <c r="I80" s="117"/>
      <c r="J80" s="117"/>
      <c r="K80" s="117"/>
      <c r="L80" s="117"/>
      <c r="M80" s="125"/>
      <c r="N80" s="125"/>
    </row>
    <row r="81" spans="1:14" ht="17.25" x14ac:dyDescent="0.35">
      <c r="A81" s="104"/>
      <c r="B81" s="118"/>
      <c r="C81" s="118"/>
      <c r="D81" s="104"/>
      <c r="E81" s="118"/>
      <c r="F81" s="118"/>
      <c r="G81" s="118"/>
      <c r="H81" s="118"/>
      <c r="I81" s="118"/>
      <c r="J81" s="118"/>
      <c r="K81" s="118"/>
      <c r="L81" s="118"/>
      <c r="M81" s="125"/>
      <c r="N81" s="125"/>
    </row>
    <row r="82" spans="1:14" ht="17.25" x14ac:dyDescent="0.35">
      <c r="A82" s="355" t="s">
        <v>0</v>
      </c>
      <c r="B82" s="353" t="s">
        <v>1</v>
      </c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</row>
    <row r="83" spans="1:14" ht="17.25" x14ac:dyDescent="0.35">
      <c r="A83" s="355"/>
      <c r="B83" s="324">
        <v>1</v>
      </c>
      <c r="C83" s="324">
        <v>2</v>
      </c>
      <c r="D83" s="324">
        <v>2.33</v>
      </c>
      <c r="E83" s="324">
        <v>5</v>
      </c>
      <c r="F83" s="324">
        <v>10</v>
      </c>
      <c r="G83" s="324">
        <v>20</v>
      </c>
      <c r="H83" s="324">
        <v>50</v>
      </c>
      <c r="I83" s="324">
        <v>100</v>
      </c>
      <c r="J83" s="324">
        <v>200</v>
      </c>
      <c r="K83" s="324">
        <v>500</v>
      </c>
      <c r="L83" s="324">
        <v>1000</v>
      </c>
      <c r="M83" s="324">
        <v>5000</v>
      </c>
      <c r="N83" s="324">
        <v>10000</v>
      </c>
    </row>
    <row r="84" spans="1:14" ht="17.25" x14ac:dyDescent="0.35">
      <c r="A84" s="115" t="s">
        <v>8</v>
      </c>
      <c r="B84" s="123">
        <f>'Regional regression analysis'!B130</f>
        <v>858.40324096909444</v>
      </c>
      <c r="C84" s="123">
        <f>'Regional regression analysis'!C130</f>
        <v>1352.3130563300926</v>
      </c>
      <c r="D84" s="123">
        <f>'Regional regression analysis'!D130</f>
        <v>1396.5360814671876</v>
      </c>
      <c r="E84" s="123">
        <f>'Regional regression analysis'!E130</f>
        <v>1574.3583134793946</v>
      </c>
      <c r="F84" s="123">
        <f>'Regional regression analysis'!F130</f>
        <v>1704.7088299448419</v>
      </c>
      <c r="G84" s="123">
        <f>'Regional regression analysis'!G130</f>
        <v>1820.4192485747451</v>
      </c>
      <c r="H84" s="123">
        <f>'Regional regression analysis'!H130</f>
        <v>1960.0285482679385</v>
      </c>
      <c r="I84" s="123">
        <f>'Regional regression analysis'!I130</f>
        <v>2058.979777402631</v>
      </c>
      <c r="J84" s="123">
        <f>'Regional regression analysis'!J130</f>
        <v>2153.9002002338152</v>
      </c>
      <c r="K84" s="123">
        <f>'Regional regression analysis'!K130</f>
        <v>2274.8020077592519</v>
      </c>
      <c r="L84" s="123">
        <f>'Regional regression analysis'!L130</f>
        <v>2363.6312901426136</v>
      </c>
      <c r="M84" s="123">
        <f>'Regional regression analysis'!M130</f>
        <v>2563.7033916840105</v>
      </c>
      <c r="N84" s="123">
        <f>'Regional regression analysis'!N130</f>
        <v>2647.9136411604873</v>
      </c>
    </row>
    <row r="85" spans="1:14" ht="17.25" x14ac:dyDescent="0.35">
      <c r="A85" s="115" t="s">
        <v>9</v>
      </c>
      <c r="B85" s="123">
        <f>'Regional regression analysis'!B131</f>
        <v>797.65378680706385</v>
      </c>
      <c r="C85" s="123">
        <f>'Regional regression analysis'!C131</f>
        <v>1370.9925128635991</v>
      </c>
      <c r="D85" s="123">
        <f>'Regional regression analysis'!D131</f>
        <v>1414.683721109458</v>
      </c>
      <c r="E85" s="123">
        <f>'Regional regression analysis'!E131</f>
        <v>1578.2140854157904</v>
      </c>
      <c r="F85" s="123">
        <f>'Regional regression analysis'!F131</f>
        <v>1686.4433483883608</v>
      </c>
      <c r="G85" s="123">
        <f>'Regional regression analysis'!G131</f>
        <v>1774.9282537674003</v>
      </c>
      <c r="H85" s="123">
        <f>'Regional regression analysis'!H131</f>
        <v>1872.9554232804892</v>
      </c>
      <c r="I85" s="123">
        <f>'Regional regression analysis'!I131</f>
        <v>1937.1025211702602</v>
      </c>
      <c r="J85" s="123">
        <f>'Regional regression analysis'!J131</f>
        <v>1994.7951853780989</v>
      </c>
      <c r="K85" s="123">
        <f>'Regional regression analysis'!K131</f>
        <v>2063.2279532432244</v>
      </c>
      <c r="L85" s="123">
        <f>'Regional regression analysis'!L131</f>
        <v>2110.1564854491958</v>
      </c>
      <c r="M85" s="123">
        <f>'Regional regression analysis'!M131</f>
        <v>2206.4382310925798</v>
      </c>
      <c r="N85" s="123">
        <f>'Regional regression analysis'!N131</f>
        <v>2243.4002477403246</v>
      </c>
    </row>
    <row r="86" spans="1:14" ht="17.25" x14ac:dyDescent="0.35">
      <c r="A86" s="120" t="s">
        <v>7</v>
      </c>
      <c r="B86" s="124" t="str">
        <f>'Regional regression analysis'!B132</f>
        <v>-</v>
      </c>
      <c r="C86" s="124">
        <f>'Regional regression analysis'!C132</f>
        <v>1333.6379986843704</v>
      </c>
      <c r="D86" s="124">
        <f>'Regional regression analysis'!D132</f>
        <v>1373.2970216638953</v>
      </c>
      <c r="E86" s="124">
        <f>'Regional regression analysis'!E132</f>
        <v>1545.5938004055492</v>
      </c>
      <c r="F86" s="124">
        <f>'Regional regression analysis'!F132</f>
        <v>1685.92698402782</v>
      </c>
      <c r="G86" s="124">
        <f>'Regional regression analysis'!G132</f>
        <v>1820.5379429543755</v>
      </c>
      <c r="H86" s="124">
        <f>'Regional regression analysis'!H132</f>
        <v>1994.778021671088</v>
      </c>
      <c r="I86" s="124">
        <f>'Regional regression analysis'!I132</f>
        <v>2125.3464413823722</v>
      </c>
      <c r="J86" s="124">
        <f>'Regional regression analysis'!J132</f>
        <v>2255.4384388626427</v>
      </c>
      <c r="K86" s="124">
        <f>'Regional regression analysis'!K132</f>
        <v>2427.0701270491995</v>
      </c>
      <c r="L86" s="124">
        <f>'Regional regression analysis'!L132</f>
        <v>2556.7852903027942</v>
      </c>
      <c r="M86" s="124">
        <f>'Regional regression analysis'!M132</f>
        <v>2857.8320342625011</v>
      </c>
      <c r="N86" s="124">
        <f>'Regional regression analysis'!N132</f>
        <v>2987.462929682134</v>
      </c>
    </row>
    <row r="87" spans="1:14" ht="17.25" x14ac:dyDescent="0.35">
      <c r="A87" s="127"/>
      <c r="B87" s="118"/>
      <c r="C87" s="117"/>
      <c r="D87" s="104"/>
      <c r="E87" s="117"/>
      <c r="F87" s="117"/>
      <c r="G87" s="117"/>
      <c r="H87" s="117"/>
      <c r="I87" s="117"/>
      <c r="J87" s="117"/>
      <c r="K87" s="117"/>
      <c r="L87" s="117"/>
      <c r="M87" s="125"/>
      <c r="N87" s="125"/>
    </row>
    <row r="88" spans="1:14" x14ac:dyDescent="0.3">
      <c r="M88" s="245"/>
    </row>
    <row r="89" spans="1:14" x14ac:dyDescent="0.3">
      <c r="L89" s="248"/>
      <c r="M89" s="245"/>
    </row>
    <row r="90" spans="1:14" x14ac:dyDescent="0.3">
      <c r="L90" s="248"/>
      <c r="M90" s="245"/>
    </row>
    <row r="91" spans="1:14" x14ac:dyDescent="0.3">
      <c r="A91" s="249"/>
      <c r="B91" s="245"/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45"/>
    </row>
    <row r="92" spans="1:14" x14ac:dyDescent="0.3">
      <c r="A92" s="249"/>
      <c r="B92" s="245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45"/>
    </row>
    <row r="109" spans="1:21" ht="17.25" x14ac:dyDescent="0.35">
      <c r="A109" s="252" t="s">
        <v>270</v>
      </c>
      <c r="B109" s="253"/>
      <c r="C109" s="253"/>
      <c r="D109" s="253"/>
      <c r="E109" s="253"/>
      <c r="F109" s="253"/>
      <c r="G109" s="253"/>
      <c r="H109" s="253"/>
      <c r="I109" s="253"/>
      <c r="J109" s="253"/>
      <c r="K109" s="253"/>
      <c r="L109" s="213"/>
    </row>
    <row r="110" spans="1:21" ht="17.25" x14ac:dyDescent="0.35">
      <c r="A110" s="253"/>
      <c r="B110" s="253"/>
      <c r="C110" s="253"/>
      <c r="D110" s="253"/>
      <c r="E110" s="253"/>
      <c r="F110" s="253"/>
      <c r="G110" s="253"/>
      <c r="H110" s="253"/>
      <c r="I110" s="254"/>
      <c r="J110" s="255"/>
      <c r="K110" s="253"/>
      <c r="L110" s="213"/>
    </row>
    <row r="111" spans="1:21" ht="17.25" x14ac:dyDescent="0.35">
      <c r="A111" s="253"/>
      <c r="B111" s="254" t="s">
        <v>64</v>
      </c>
      <c r="C111" s="255"/>
      <c r="D111" s="253"/>
      <c r="E111" s="253"/>
      <c r="F111" s="253"/>
      <c r="G111" s="253"/>
      <c r="H111" s="253"/>
      <c r="I111" s="254"/>
      <c r="J111" s="254"/>
      <c r="K111" s="253"/>
      <c r="L111" s="213"/>
      <c r="T111" s="268"/>
      <c r="U111" s="268"/>
    </row>
    <row r="112" spans="1:21" ht="18.75" x14ac:dyDescent="0.35">
      <c r="A112" s="253" t="s">
        <v>271</v>
      </c>
      <c r="B112" s="256">
        <f>'Station Details'!H4</f>
        <v>16396.2</v>
      </c>
      <c r="C112" s="254" t="s">
        <v>104</v>
      </c>
      <c r="D112" s="253"/>
      <c r="E112" s="253"/>
      <c r="G112" s="253"/>
      <c r="H112" s="253"/>
      <c r="I112" s="254"/>
      <c r="J112" s="254"/>
      <c r="K112" s="253"/>
      <c r="L112" s="213"/>
      <c r="T112" s="268"/>
      <c r="U112" s="268"/>
    </row>
    <row r="113" spans="1:21" ht="18.75" x14ac:dyDescent="0.35">
      <c r="A113" s="253" t="s">
        <v>231</v>
      </c>
      <c r="B113" s="257">
        <f>'Station Details'!H3</f>
        <v>16800.310000000001</v>
      </c>
      <c r="C113" s="254" t="s">
        <v>104</v>
      </c>
      <c r="D113" s="213"/>
      <c r="F113" s="253"/>
      <c r="G113" s="253"/>
      <c r="H113" s="253"/>
      <c r="I113" s="253"/>
      <c r="J113" s="253"/>
      <c r="K113" s="253"/>
      <c r="L113" s="213"/>
      <c r="T113" s="268"/>
      <c r="U113" s="268"/>
    </row>
    <row r="114" spans="1:21" ht="17.25" x14ac:dyDescent="0.35">
      <c r="A114" s="253" t="s">
        <v>217</v>
      </c>
      <c r="B114" s="269">
        <f>(+$B$113/$B$112)</f>
        <v>1.02464656444786</v>
      </c>
      <c r="C114" s="254"/>
      <c r="D114" s="253"/>
      <c r="E114" s="253"/>
      <c r="F114" s="253"/>
      <c r="G114" s="253"/>
      <c r="H114" s="253"/>
      <c r="I114" s="253"/>
      <c r="J114" s="253"/>
      <c r="K114" s="253"/>
      <c r="L114" s="213"/>
      <c r="T114" s="268"/>
      <c r="U114" s="268"/>
    </row>
    <row r="115" spans="1:21" ht="17.25" x14ac:dyDescent="0.35">
      <c r="A115" s="251" t="s">
        <v>0</v>
      </c>
      <c r="B115" s="345" t="s">
        <v>1</v>
      </c>
      <c r="C115" s="346"/>
      <c r="D115" s="346"/>
      <c r="E115" s="346"/>
      <c r="F115" s="346"/>
      <c r="G115" s="346"/>
      <c r="H115" s="346"/>
      <c r="I115" s="346"/>
      <c r="J115" s="346"/>
      <c r="K115" s="346"/>
      <c r="L115" s="346"/>
      <c r="M115" s="346"/>
      <c r="N115" s="347"/>
    </row>
    <row r="116" spans="1:21" ht="17.25" x14ac:dyDescent="0.35">
      <c r="B116" s="280">
        <f t="shared" ref="B116:L116" si="2">+B35</f>
        <v>1</v>
      </c>
      <c r="C116" s="280">
        <f t="shared" si="2"/>
        <v>2</v>
      </c>
      <c r="D116" s="280">
        <f t="shared" si="2"/>
        <v>2.33</v>
      </c>
      <c r="E116" s="280">
        <f t="shared" si="2"/>
        <v>5</v>
      </c>
      <c r="F116" s="280">
        <f t="shared" si="2"/>
        <v>10</v>
      </c>
      <c r="G116" s="280">
        <f t="shared" si="2"/>
        <v>20</v>
      </c>
      <c r="H116" s="280">
        <f t="shared" si="2"/>
        <v>50</v>
      </c>
      <c r="I116" s="280">
        <f t="shared" si="2"/>
        <v>100</v>
      </c>
      <c r="J116" s="280">
        <f t="shared" si="2"/>
        <v>200</v>
      </c>
      <c r="K116" s="280">
        <f t="shared" si="2"/>
        <v>500</v>
      </c>
      <c r="L116" s="280">
        <f t="shared" si="2"/>
        <v>1000</v>
      </c>
      <c r="M116" s="280">
        <v>5000</v>
      </c>
      <c r="N116" s="280">
        <v>10000</v>
      </c>
    </row>
    <row r="117" spans="1:21" ht="17.25" x14ac:dyDescent="0.35">
      <c r="A117" s="251" t="s">
        <v>224</v>
      </c>
      <c r="B117" s="278">
        <f t="shared" ref="B117:L117" si="3">1/B116</f>
        <v>1</v>
      </c>
      <c r="C117" s="278">
        <f t="shared" si="3"/>
        <v>0.5</v>
      </c>
      <c r="D117" s="278">
        <f t="shared" si="3"/>
        <v>0.42918454935622319</v>
      </c>
      <c r="E117" s="278">
        <f t="shared" si="3"/>
        <v>0.2</v>
      </c>
      <c r="F117" s="278">
        <f t="shared" si="3"/>
        <v>0.1</v>
      </c>
      <c r="G117" s="278">
        <f t="shared" si="3"/>
        <v>0.05</v>
      </c>
      <c r="H117" s="278">
        <f t="shared" si="3"/>
        <v>0.02</v>
      </c>
      <c r="I117" s="278">
        <f>1/I116</f>
        <v>0.01</v>
      </c>
      <c r="J117" s="278">
        <f t="shared" si="3"/>
        <v>5.0000000000000001E-3</v>
      </c>
      <c r="K117" s="278">
        <f t="shared" si="3"/>
        <v>2E-3</v>
      </c>
      <c r="L117" s="278">
        <f t="shared" si="3"/>
        <v>1E-3</v>
      </c>
      <c r="M117" s="278">
        <f t="shared" ref="M117:N117" si="4">1/M116</f>
        <v>2.0000000000000001E-4</v>
      </c>
      <c r="N117" s="278">
        <f t="shared" si="4"/>
        <v>1E-4</v>
      </c>
    </row>
    <row r="118" spans="1:21" ht="17.25" x14ac:dyDescent="0.35">
      <c r="A118" s="251" t="s">
        <v>214</v>
      </c>
      <c r="B118" s="291">
        <f>B84*$B$114</f>
        <v>879.55993176989114</v>
      </c>
      <c r="C118" s="291">
        <f t="shared" ref="C118:N118" si="5">C84*$B$114</f>
        <v>1385.6429272266148</v>
      </c>
      <c r="D118" s="291">
        <f t="shared" si="5"/>
        <v>1430.9558980028305</v>
      </c>
      <c r="E118" s="291">
        <f t="shared" si="5"/>
        <v>1613.1608371165887</v>
      </c>
      <c r="F118" s="291">
        <f t="shared" si="5"/>
        <v>1746.7240459869133</v>
      </c>
      <c r="G118" s="291">
        <f t="shared" si="5"/>
        <v>1865.2863289068673</v>
      </c>
      <c r="H118" s="291">
        <f t="shared" si="5"/>
        <v>2008.3365182024697</v>
      </c>
      <c r="I118" s="291">
        <f t="shared" si="5"/>
        <v>2109.7265551832252</v>
      </c>
      <c r="J118" s="291">
        <f t="shared" si="5"/>
        <v>2206.9864403331362</v>
      </c>
      <c r="K118" s="291">
        <f t="shared" si="5"/>
        <v>2330.8680620496116</v>
      </c>
      <c r="L118" s="291">
        <f t="shared" si="5"/>
        <v>2421.886681066092</v>
      </c>
      <c r="M118" s="291">
        <f t="shared" si="5"/>
        <v>2626.8898725523477</v>
      </c>
      <c r="N118" s="291">
        <f t="shared" si="5"/>
        <v>2713.1756153697165</v>
      </c>
    </row>
    <row r="119" spans="1:21" ht="17.25" x14ac:dyDescent="0.35">
      <c r="A119" s="251" t="s">
        <v>215</v>
      </c>
      <c r="B119" s="291">
        <f>B85*$B$114</f>
        <v>817.31321227068372</v>
      </c>
      <c r="C119" s="291">
        <f t="shared" ref="C119:N120" si="6">C85*$B$114</f>
        <v>1404.7827681894253</v>
      </c>
      <c r="D119" s="291">
        <f t="shared" si="6"/>
        <v>1449.5508146151205</v>
      </c>
      <c r="E119" s="291">
        <f t="shared" si="6"/>
        <v>1617.111640584511</v>
      </c>
      <c r="F119" s="291">
        <f t="shared" si="6"/>
        <v>1728.0083830620792</v>
      </c>
      <c r="G119" s="291">
        <f t="shared" si="6"/>
        <v>1818.674137364206</v>
      </c>
      <c r="H119" s="291">
        <f t="shared" si="6"/>
        <v>1919.1173398283406</v>
      </c>
      <c r="I119" s="291">
        <f t="shared" si="6"/>
        <v>1984.8454433003949</v>
      </c>
      <c r="J119" s="291">
        <f t="shared" si="6"/>
        <v>2043.9600334748011</v>
      </c>
      <c r="K119" s="291">
        <f t="shared" si="6"/>
        <v>2114.0794339634599</v>
      </c>
      <c r="L119" s="291">
        <f t="shared" si="6"/>
        <v>2162.164593262889</v>
      </c>
      <c r="M119" s="291">
        <f t="shared" si="6"/>
        <v>2260.8193531554252</v>
      </c>
      <c r="N119" s="291">
        <f t="shared" si="6"/>
        <v>2298.6923565286015</v>
      </c>
    </row>
    <row r="120" spans="1:21" ht="17.25" x14ac:dyDescent="0.35">
      <c r="A120" s="258" t="s">
        <v>216</v>
      </c>
      <c r="B120" s="316">
        <v>0</v>
      </c>
      <c r="C120" s="316">
        <f t="shared" si="6"/>
        <v>1366.5075935690597</v>
      </c>
      <c r="D120" s="316">
        <f t="shared" si="6"/>
        <v>1407.1440752143885</v>
      </c>
      <c r="E120" s="316">
        <f t="shared" si="6"/>
        <v>1583.6873776174575</v>
      </c>
      <c r="F120" s="316">
        <f t="shared" si="6"/>
        <v>1727.4792920940479</v>
      </c>
      <c r="G120" s="316">
        <f t="shared" si="6"/>
        <v>1865.4079486951748</v>
      </c>
      <c r="H120" s="316">
        <f t="shared" si="6"/>
        <v>2043.9424467413792</v>
      </c>
      <c r="I120" s="316">
        <f t="shared" si="6"/>
        <v>2177.7289294239326</v>
      </c>
      <c r="J120" s="316">
        <f t="shared" si="6"/>
        <v>2311.0272477042513</v>
      </c>
      <c r="K120" s="316">
        <f t="shared" si="6"/>
        <v>2486.8890673549931</v>
      </c>
      <c r="L120" s="316">
        <f t="shared" si="6"/>
        <v>2619.8012637395823</v>
      </c>
      <c r="M120" s="316">
        <f t="shared" si="6"/>
        <v>2928.2677756761104</v>
      </c>
      <c r="N120" s="316">
        <f t="shared" si="6"/>
        <v>3061.0936273141374</v>
      </c>
    </row>
    <row r="121" spans="1:21" x14ac:dyDescent="0.3">
      <c r="C121" s="215">
        <v>1</v>
      </c>
      <c r="D121" s="215">
        <v>2</v>
      </c>
      <c r="E121" s="215">
        <v>3</v>
      </c>
      <c r="F121" s="215">
        <v>4</v>
      </c>
      <c r="G121" s="215">
        <v>5</v>
      </c>
      <c r="H121" s="215">
        <v>6</v>
      </c>
      <c r="I121" s="215">
        <v>7</v>
      </c>
      <c r="J121" s="215">
        <v>8</v>
      </c>
      <c r="K121" s="215">
        <v>9</v>
      </c>
      <c r="L121" s="215">
        <v>10</v>
      </c>
      <c r="M121" s="215">
        <v>11</v>
      </c>
      <c r="N121" s="215">
        <v>12</v>
      </c>
    </row>
    <row r="122" spans="1:21" x14ac:dyDescent="0.3">
      <c r="T122" s="268"/>
      <c r="U122" s="268"/>
    </row>
    <row r="123" spans="1:21" ht="17.25" hidden="1" customHeight="1" x14ac:dyDescent="0.3">
      <c r="A123" s="215" t="s">
        <v>235</v>
      </c>
      <c r="T123" s="268"/>
      <c r="U123" s="268"/>
    </row>
    <row r="124" spans="1:21" ht="17.25" hidden="1" customHeight="1" x14ac:dyDescent="0.3">
      <c r="T124" s="268"/>
      <c r="U124" s="268"/>
    </row>
    <row r="125" spans="1:21" ht="17.25" hidden="1" customHeight="1" x14ac:dyDescent="0.3">
      <c r="E125" s="215" t="s">
        <v>64</v>
      </c>
      <c r="T125" s="268"/>
      <c r="U125" s="268"/>
    </row>
    <row r="126" spans="1:21" ht="18.75" hidden="1" customHeight="1" x14ac:dyDescent="0.35">
      <c r="A126" s="215" t="s">
        <v>236</v>
      </c>
      <c r="E126" s="215">
        <f>'Station Details'!H4</f>
        <v>16396.2</v>
      </c>
      <c r="F126" s="215" t="s">
        <v>104</v>
      </c>
    </row>
    <row r="127" spans="1:21" ht="18.75" hidden="1" customHeight="1" x14ac:dyDescent="0.35">
      <c r="A127" s="215" t="s">
        <v>237</v>
      </c>
      <c r="E127" s="215">
        <f>+B113</f>
        <v>16800.310000000001</v>
      </c>
      <c r="F127" s="215" t="s">
        <v>104</v>
      </c>
    </row>
    <row r="128" spans="1:21" ht="17.25" hidden="1" customHeight="1" x14ac:dyDescent="0.3"/>
    <row r="129" spans="1:14" ht="17.25" hidden="1" customHeight="1" x14ac:dyDescent="0.3">
      <c r="A129" s="215" t="s">
        <v>217</v>
      </c>
      <c r="B129" s="215">
        <f>(E127/E126)</f>
        <v>1.02464656444786</v>
      </c>
    </row>
    <row r="130" spans="1:14" ht="17.25" hidden="1" customHeight="1" x14ac:dyDescent="0.3"/>
    <row r="131" spans="1:14" ht="17.25" hidden="1" customHeight="1" x14ac:dyDescent="0.3">
      <c r="A131" s="215" t="s">
        <v>0</v>
      </c>
      <c r="B131" s="215" t="s">
        <v>1</v>
      </c>
    </row>
    <row r="132" spans="1:14" ht="17.25" hidden="1" customHeight="1" x14ac:dyDescent="0.3">
      <c r="B132" s="215">
        <f>+B116</f>
        <v>1</v>
      </c>
      <c r="C132" s="215">
        <f t="shared" ref="C132:L132" si="7">+C116</f>
        <v>2</v>
      </c>
      <c r="D132" s="215">
        <f t="shared" si="7"/>
        <v>2.33</v>
      </c>
      <c r="E132" s="215">
        <f t="shared" si="7"/>
        <v>5</v>
      </c>
      <c r="F132" s="215">
        <f t="shared" si="7"/>
        <v>10</v>
      </c>
      <c r="G132" s="215">
        <f t="shared" si="7"/>
        <v>20</v>
      </c>
      <c r="H132" s="215">
        <f t="shared" si="7"/>
        <v>50</v>
      </c>
      <c r="I132" s="215">
        <f t="shared" si="7"/>
        <v>100</v>
      </c>
      <c r="J132" s="215">
        <f t="shared" si="7"/>
        <v>200</v>
      </c>
      <c r="K132" s="215">
        <f t="shared" si="7"/>
        <v>500</v>
      </c>
      <c r="L132" s="215">
        <f t="shared" si="7"/>
        <v>1000</v>
      </c>
      <c r="M132" s="215">
        <v>5000</v>
      </c>
      <c r="N132" s="215">
        <v>10000</v>
      </c>
    </row>
    <row r="133" spans="1:14" ht="17.25" hidden="1" customHeight="1" x14ac:dyDescent="0.3">
      <c r="A133" s="215" t="s">
        <v>214</v>
      </c>
      <c r="B133" s="215">
        <f>B36*$B$129</f>
        <v>16.344294714496304</v>
      </c>
      <c r="C133" s="215">
        <f t="shared" ref="C133:L133" si="8">C36*$B$129</f>
        <v>43.626510385676454</v>
      </c>
      <c r="D133" s="215">
        <f t="shared" si="8"/>
        <v>46.76688894504975</v>
      </c>
      <c r="E133" s="215">
        <f t="shared" si="8"/>
        <v>60.586750791401855</v>
      </c>
      <c r="F133" s="215">
        <f t="shared" si="8"/>
        <v>71.945521505232009</v>
      </c>
      <c r="G133" s="215">
        <f t="shared" si="8"/>
        <v>82.911356378954579</v>
      </c>
      <c r="H133" s="215">
        <f t="shared" si="8"/>
        <v>97.260284161104352</v>
      </c>
      <c r="I133" s="215">
        <f t="shared" si="8"/>
        <v>108.17840791010836</v>
      </c>
      <c r="J133" s="215">
        <f t="shared" si="8"/>
        <v>119.24011505254035</v>
      </c>
      <c r="K133" s="215">
        <f t="shared" si="8"/>
        <v>134.17049427307927</v>
      </c>
      <c r="L133" s="215">
        <f t="shared" si="8"/>
        <v>145.74499456405016</v>
      </c>
      <c r="M133" s="215">
        <f t="shared" ref="M133:N133" si="9">M36*$B$129</f>
        <v>173.70860411952376</v>
      </c>
      <c r="N133" s="215">
        <f t="shared" si="9"/>
        <v>186.2693342145499</v>
      </c>
    </row>
    <row r="134" spans="1:14" ht="17.25" hidden="1" customHeight="1" x14ac:dyDescent="0.3">
      <c r="A134" s="215" t="s">
        <v>215</v>
      </c>
      <c r="B134" s="215">
        <f t="shared" ref="B134:L134" si="10">B37*$B$129</f>
        <v>13.141916894304709</v>
      </c>
      <c r="C134" s="215">
        <f t="shared" si="10"/>
        <v>45.437838595061365</v>
      </c>
      <c r="D134" s="215">
        <f t="shared" si="10"/>
        <v>48.571532835719452</v>
      </c>
      <c r="E134" s="215">
        <f t="shared" si="10"/>
        <v>60.919695583685503</v>
      </c>
      <c r="F134" s="215">
        <f t="shared" si="10"/>
        <v>69.529178247730243</v>
      </c>
      <c r="G134" s="215">
        <f t="shared" si="10"/>
        <v>76.752556665264876</v>
      </c>
      <c r="H134" s="215">
        <f t="shared" si="10"/>
        <v>84.878457581550649</v>
      </c>
      <c r="I134" s="215">
        <f t="shared" si="10"/>
        <v>90.22944200578965</v>
      </c>
      <c r="J134" s="215">
        <f t="shared" si="10"/>
        <v>95.041346099849221</v>
      </c>
      <c r="K134" s="215">
        <f t="shared" si="10"/>
        <v>100.72166023839797</v>
      </c>
      <c r="L134" s="215">
        <f t="shared" si="10"/>
        <v>104.58373491576954</v>
      </c>
      <c r="M134" s="215">
        <f t="shared" ref="M134:N134" si="11">M37*$B$129</f>
        <v>112.36868495880042</v>
      </c>
      <c r="N134" s="215">
        <f t="shared" si="11"/>
        <v>115.29001656755027</v>
      </c>
    </row>
    <row r="135" spans="1:14" ht="17.25" hidden="1" customHeight="1" x14ac:dyDescent="0.3">
      <c r="A135" s="215" t="s">
        <v>216</v>
      </c>
      <c r="B135" s="215" t="s">
        <v>73</v>
      </c>
      <c r="C135" s="215">
        <f t="shared" ref="C135:L135" si="12">C38*$B$129</f>
        <v>43.997230216412049</v>
      </c>
      <c r="D135" s="215">
        <f t="shared" si="12"/>
        <v>46.720167128845041</v>
      </c>
      <c r="E135" s="215">
        <f t="shared" si="12"/>
        <v>58.549839760245085</v>
      </c>
      <c r="F135" s="215">
        <f t="shared" si="12"/>
        <v>68.184933542600717</v>
      </c>
      <c r="G135" s="215">
        <f t="shared" si="12"/>
        <v>77.427146823254517</v>
      </c>
      <c r="H135" s="215">
        <f t="shared" si="12"/>
        <v>89.390243902270157</v>
      </c>
      <c r="I135" s="215">
        <f t="shared" si="12"/>
        <v>98.354901700659497</v>
      </c>
      <c r="J135" s="215">
        <f t="shared" si="12"/>
        <v>107.28684896860032</v>
      </c>
      <c r="K135" s="215">
        <f t="shared" si="12"/>
        <v>119.07085734792034</v>
      </c>
      <c r="L135" s="215">
        <f t="shared" si="12"/>
        <v>127.97693166820399</v>
      </c>
      <c r="M135" s="215">
        <f t="shared" ref="M135:N135" si="13">M38*$B$129</f>
        <v>148.64640937870792</v>
      </c>
      <c r="N135" s="215">
        <f t="shared" si="13"/>
        <v>157.54669797916316</v>
      </c>
    </row>
    <row r="139" spans="1:14" ht="17.25" customHeight="1" x14ac:dyDescent="0.3"/>
    <row r="140" spans="1:14" ht="17.25" customHeight="1" x14ac:dyDescent="0.3"/>
    <row r="141" spans="1:14" ht="17.25" customHeight="1" x14ac:dyDescent="0.3"/>
    <row r="142" spans="1:14" ht="18.75" customHeight="1" x14ac:dyDescent="0.3"/>
    <row r="143" spans="1:14" ht="18.75" customHeight="1" x14ac:dyDescent="0.3"/>
    <row r="144" spans="1:1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5" customHeight="1" x14ac:dyDescent="0.3"/>
    <row r="161" spans="10:12" x14ac:dyDescent="0.3">
      <c r="J161" s="389"/>
      <c r="K161" s="389"/>
      <c r="L161" s="389"/>
    </row>
    <row r="162" spans="10:12" x14ac:dyDescent="0.3">
      <c r="J162" s="389"/>
      <c r="K162" s="389"/>
      <c r="L162" s="389"/>
    </row>
    <row r="163" spans="10:12" x14ac:dyDescent="0.3">
      <c r="J163" s="389"/>
      <c r="K163" s="389"/>
      <c r="L163" s="389"/>
    </row>
    <row r="164" spans="10:12" x14ac:dyDescent="0.3">
      <c r="J164" s="389"/>
      <c r="K164" s="389"/>
      <c r="L164" s="389"/>
    </row>
    <row r="165" spans="10:12" x14ac:dyDescent="0.3">
      <c r="J165" s="389"/>
      <c r="K165" s="389"/>
      <c r="L165" s="389"/>
    </row>
    <row r="166" spans="10:12" x14ac:dyDescent="0.3">
      <c r="J166" s="389"/>
      <c r="K166" s="389"/>
      <c r="L166" s="389"/>
    </row>
  </sheetData>
  <mergeCells count="11">
    <mergeCell ref="A82:A83"/>
    <mergeCell ref="B82:N82"/>
    <mergeCell ref="B115:N115"/>
    <mergeCell ref="A58:A59"/>
    <mergeCell ref="B58:N58"/>
    <mergeCell ref="A1:L1"/>
    <mergeCell ref="A2:L2"/>
    <mergeCell ref="A10:A11"/>
    <mergeCell ref="A34:A35"/>
    <mergeCell ref="B10:N10"/>
    <mergeCell ref="B34:N34"/>
  </mergeCells>
  <printOptions horizontalCentered="1"/>
  <pageMargins left="0.75" right="0.75" top="1" bottom="1" header="0.5" footer="0.5"/>
  <pageSetup paperSize="9" scale="90" fitToHeight="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6" tint="-0.499984740745262"/>
  </sheetPr>
  <dimension ref="A1:AC351"/>
  <sheetViews>
    <sheetView topLeftCell="A120" zoomScale="70" zoomScaleNormal="70" zoomScaleSheetLayoutView="85" workbookViewId="0">
      <selection activeCell="D285" sqref="D285"/>
    </sheetView>
  </sheetViews>
  <sheetFormatPr defaultRowHeight="17.25" x14ac:dyDescent="0.35"/>
  <cols>
    <col min="1" max="1" width="27.7109375" style="104" customWidth="1"/>
    <col min="2" max="2" width="28.28515625" style="104" customWidth="1"/>
    <col min="3" max="3" width="21" style="104" customWidth="1"/>
    <col min="4" max="4" width="14" style="104" customWidth="1"/>
    <col min="5" max="5" width="18.140625" style="104" customWidth="1"/>
    <col min="6" max="6" width="13.5703125" style="104" customWidth="1"/>
    <col min="7" max="7" width="12.85546875" style="104" customWidth="1"/>
    <col min="8" max="8" width="12.5703125" style="104" customWidth="1"/>
    <col min="9" max="9" width="13.140625" style="104" customWidth="1"/>
    <col min="10" max="10" width="12" style="104" customWidth="1"/>
    <col min="11" max="11" width="11.42578125" style="104" customWidth="1"/>
    <col min="12" max="12" width="10.42578125" style="111" customWidth="1"/>
    <col min="13" max="14" width="10.5703125" style="104" customWidth="1"/>
    <col min="15" max="15" width="12.5703125" style="104" customWidth="1"/>
    <col min="16" max="16" width="16.5703125" style="104" customWidth="1"/>
    <col min="17" max="17" width="25.42578125" style="104" customWidth="1"/>
    <col min="18" max="18" width="23" style="104" customWidth="1"/>
    <col min="19" max="19" width="11.5703125" style="104" customWidth="1"/>
    <col min="20" max="20" width="14.85546875" style="104" customWidth="1"/>
    <col min="21" max="21" width="21" style="104" customWidth="1"/>
    <col min="22" max="22" width="15.85546875" style="104" customWidth="1"/>
    <col min="23" max="23" width="13.85546875" style="104" customWidth="1"/>
    <col min="24" max="24" width="17.42578125" style="104" customWidth="1"/>
    <col min="25" max="25" width="12.5703125" style="104" customWidth="1"/>
    <col min="26" max="26" width="17" style="104" customWidth="1"/>
    <col min="27" max="27" width="10.140625" style="104" customWidth="1"/>
    <col min="28" max="28" width="12.28515625" style="104" customWidth="1"/>
    <col min="29" max="29" width="11.85546875" style="104" customWidth="1"/>
    <col min="30" max="16384" width="9.140625" style="104"/>
  </cols>
  <sheetData>
    <row r="1" spans="1:25" x14ac:dyDescent="0.35">
      <c r="A1" s="326" t="s">
        <v>65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193"/>
    </row>
    <row r="2" spans="1:25" x14ac:dyDescent="0.35">
      <c r="A2" s="326" t="s">
        <v>63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193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x14ac:dyDescent="0.35">
      <c r="A3" s="23" t="s">
        <v>11</v>
      </c>
      <c r="B3" s="287" t="s">
        <v>232</v>
      </c>
      <c r="C3" s="23"/>
      <c r="D3" s="106"/>
      <c r="E3" s="106"/>
      <c r="F3" s="106"/>
      <c r="G3" s="106"/>
      <c r="H3" s="106"/>
      <c r="I3" s="106"/>
      <c r="J3" s="106"/>
      <c r="K3" s="106"/>
      <c r="L3" s="107"/>
      <c r="M3" s="106"/>
      <c r="N3" s="106"/>
      <c r="P3" s="105"/>
    </row>
    <row r="4" spans="1:25" x14ac:dyDescent="0.35">
      <c r="A4" s="23" t="s">
        <v>12</v>
      </c>
      <c r="B4" s="23" t="s">
        <v>58</v>
      </c>
      <c r="C4" s="23"/>
      <c r="D4" s="23"/>
      <c r="E4" s="106"/>
      <c r="G4" s="106"/>
      <c r="H4" s="106"/>
      <c r="I4" s="106"/>
      <c r="J4" s="106"/>
      <c r="K4" s="106"/>
      <c r="L4" s="107"/>
      <c r="M4" s="106"/>
      <c r="N4" s="106"/>
      <c r="P4" s="105"/>
    </row>
    <row r="5" spans="1:25" x14ac:dyDescent="0.35">
      <c r="A5" s="23" t="s">
        <v>13</v>
      </c>
      <c r="B5" s="108">
        <v>43342</v>
      </c>
      <c r="C5" s="109"/>
      <c r="D5" s="106"/>
      <c r="E5" s="106"/>
      <c r="F5" s="106"/>
      <c r="G5" s="106"/>
      <c r="H5" s="106"/>
      <c r="I5" s="106"/>
      <c r="J5" s="106"/>
      <c r="K5" s="106"/>
      <c r="L5" s="107"/>
      <c r="M5" s="106"/>
      <c r="N5" s="106"/>
      <c r="O5" s="110"/>
      <c r="P5" s="105"/>
    </row>
    <row r="6" spans="1:25" x14ac:dyDescent="0.35">
      <c r="A6" s="106" t="s">
        <v>233</v>
      </c>
      <c r="O6" s="110"/>
      <c r="P6" s="105"/>
    </row>
    <row r="7" spans="1:25" x14ac:dyDescent="0.35">
      <c r="A7" s="106" t="s">
        <v>134</v>
      </c>
      <c r="O7" s="110"/>
      <c r="P7" s="105"/>
    </row>
    <row r="8" spans="1:25" x14ac:dyDescent="0.35">
      <c r="A8" s="112" t="s">
        <v>148</v>
      </c>
      <c r="O8" s="110"/>
      <c r="P8" s="105"/>
    </row>
    <row r="9" spans="1:25" hidden="1" x14ac:dyDescent="0.35">
      <c r="A9" s="112" t="s">
        <v>91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M9" s="111"/>
      <c r="N9" s="111"/>
      <c r="O9" s="110"/>
      <c r="P9" s="105"/>
    </row>
    <row r="10" spans="1:25" hidden="1" x14ac:dyDescent="0.3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M10" s="111"/>
      <c r="N10" s="111"/>
      <c r="O10" s="110"/>
      <c r="P10" s="105"/>
    </row>
    <row r="11" spans="1:25" hidden="1" x14ac:dyDescent="0.35">
      <c r="A11" s="330" t="s">
        <v>0</v>
      </c>
      <c r="B11" s="345" t="s">
        <v>1</v>
      </c>
      <c r="C11" s="346"/>
      <c r="D11" s="346"/>
      <c r="E11" s="346"/>
      <c r="F11" s="346"/>
      <c r="G11" s="346"/>
      <c r="H11" s="346"/>
      <c r="I11" s="346"/>
      <c r="J11" s="346"/>
      <c r="K11" s="346"/>
      <c r="L11" s="347"/>
      <c r="M11" s="113"/>
      <c r="N11" s="113"/>
      <c r="O11" s="110"/>
      <c r="P11" s="105"/>
    </row>
    <row r="12" spans="1:25" hidden="1" x14ac:dyDescent="0.35">
      <c r="A12" s="331"/>
      <c r="B12" s="192">
        <v>1</v>
      </c>
      <c r="C12" s="192">
        <v>2</v>
      </c>
      <c r="D12" s="192">
        <v>2.33</v>
      </c>
      <c r="E12" s="192">
        <v>5</v>
      </c>
      <c r="F12" s="192">
        <v>10</v>
      </c>
      <c r="G12" s="192">
        <v>20</v>
      </c>
      <c r="H12" s="192">
        <v>50</v>
      </c>
      <c r="I12" s="192">
        <v>100</v>
      </c>
      <c r="J12" s="192">
        <v>200</v>
      </c>
      <c r="K12" s="192">
        <v>500</v>
      </c>
      <c r="L12" s="191">
        <v>1000</v>
      </c>
      <c r="M12" s="114"/>
      <c r="N12" s="114"/>
      <c r="O12" s="110"/>
      <c r="P12" s="105"/>
    </row>
    <row r="13" spans="1:25" hidden="1" x14ac:dyDescent="0.35">
      <c r="A13" s="115" t="s">
        <v>8</v>
      </c>
      <c r="B13" s="116">
        <f>+INDEX('Bhakbesi.(439.35'!$F$71:$F$83,'Regional regression analysis'!B202)</f>
        <v>13.180539534389816</v>
      </c>
      <c r="C13" s="116">
        <f>+INDEX('Bhakbesi.(439.35'!$F$71:$F$83,'Regional regression analysis'!C202)</f>
        <v>38.797716681037848</v>
      </c>
      <c r="D13" s="116">
        <f>+INDEX('Bhakbesi.(439.35'!$F$71:$F$83,'Regional regression analysis'!D202)</f>
        <v>41.879585121268356</v>
      </c>
      <c r="E13" s="116">
        <f>+INDEX('Bhakbesi.(439.35'!$F$71:$F$83,'Regional regression analysis'!E202)</f>
        <v>55.673174224534073</v>
      </c>
      <c r="F13" s="116">
        <f>+INDEX('Bhakbesi.(439.35'!$F$71:$F$83,'Regional regression analysis'!F202)</f>
        <v>67.252508582039468</v>
      </c>
      <c r="G13" s="116">
        <f>+INDEX('Bhakbesi.(439.35'!$F$71:$F$83,'Regional regression analysis'!G202)</f>
        <v>78.606440781594543</v>
      </c>
      <c r="H13" s="116">
        <f>+INDEX('Bhakbesi.(439.35'!$F$71:$F$83,'Regional regression analysis'!H202)</f>
        <v>93.68875179721249</v>
      </c>
      <c r="I13" s="116">
        <f>+INDEX('Bhakbesi.(439.35'!$F$71:$F$83,'Regional regression analysis'!I202)</f>
        <v>105.31658855222544</v>
      </c>
      <c r="J13" s="116">
        <f>+INDEX('Bhakbesi.(439.35'!$F$71:$F$83,'Regional regression analysis'!J202)</f>
        <v>117.21735435905538</v>
      </c>
      <c r="K13" s="116">
        <f>+INDEX('Bhakbesi.(439.35'!$F$71:$F$83,'Regional regression analysis'!K202)</f>
        <v>133.45413004777024</v>
      </c>
      <c r="L13" s="116">
        <f>+INDEX('Bhakbesi.(439.35'!$F$71:$F$83,'Regional regression analysis'!L202)</f>
        <v>146.16711989401301</v>
      </c>
      <c r="M13" s="117"/>
      <c r="N13" s="117"/>
      <c r="O13" s="118"/>
    </row>
    <row r="14" spans="1:25" hidden="1" x14ac:dyDescent="0.35">
      <c r="A14" s="115" t="s">
        <v>9</v>
      </c>
      <c r="B14" s="119">
        <f>+INDEX('Bhakbesi.(439.35'!$I$71:$I$83,'Regional regression analysis'!B202)</f>
        <v>10.650522372649394</v>
      </c>
      <c r="C14" s="119">
        <f>+INDEX('Bhakbesi.(439.35'!$I$71:$I$83,'Regional regression analysis'!C202)</f>
        <v>40.372649990616935</v>
      </c>
      <c r="D14" s="119">
        <f>+INDEX('Bhakbesi.(439.35'!$I$71:$I$83,'Regional regression analysis'!D202)</f>
        <v>43.467048191179366</v>
      </c>
      <c r="E14" s="119">
        <f>+INDEX('Bhakbesi.(439.35'!$I$71:$I$83,'Regional regression analysis'!E202)</f>
        <v>56.01221793427024</v>
      </c>
      <c r="F14" s="119">
        <f>+INDEX('Bhakbesi.(439.35'!$I$71:$I$83,'Regional regression analysis'!F202)</f>
        <v>65.10016179823478</v>
      </c>
      <c r="G14" s="119">
        <f>+INDEX('Bhakbesi.(439.35'!$I$71:$I$83,'Regional regression analysis'!G202)</f>
        <v>72.952778718875834</v>
      </c>
      <c r="H14" s="119">
        <f>+INDEX('Bhakbesi.(439.35'!$I$71:$I$83,'Regional regression analysis'!H202)</f>
        <v>82.051757816916975</v>
      </c>
      <c r="I14" s="119">
        <f>+INDEX('Bhakbesi.(439.35'!$I$71:$I$83,'Regional regression analysis'!I202)</f>
        <v>88.208313124918703</v>
      </c>
      <c r="J14" s="119">
        <f>+INDEX('Bhakbesi.(439.35'!$I$71:$I$83,'Regional regression analysis'!J202)</f>
        <v>93.865311772746196</v>
      </c>
      <c r="K14" s="119">
        <f>+INDEX('Bhakbesi.(439.35'!$I$71:$I$83,'Regional regression analysis'!K202)</f>
        <v>100.70249117498928</v>
      </c>
      <c r="L14" s="119">
        <f>+INDEX('Bhakbesi.(439.35'!$I$71:$I$83,'Regional regression analysis'!L202)</f>
        <v>105.45812771802943</v>
      </c>
      <c r="M14" s="117"/>
      <c r="N14" s="117"/>
      <c r="O14" s="118"/>
    </row>
    <row r="15" spans="1:25" hidden="1" x14ac:dyDescent="0.35">
      <c r="A15" s="120" t="s">
        <v>7</v>
      </c>
      <c r="B15" s="121" t="s">
        <v>73</v>
      </c>
      <c r="C15" s="122">
        <f>+INDEX('Bhakbesi.(439.35'!$K$71:$K$83,'Regional regression analysis'!C202)</f>
        <v>39.389718408371159</v>
      </c>
      <c r="D15" s="122">
        <f>+INDEX('Bhakbesi.(439.35'!$K$71:$K$83,'Regional regression analysis'!D202)</f>
        <v>42.013399757896693</v>
      </c>
      <c r="E15" s="122">
        <f>+INDEX('Bhakbesi.(439.35'!$K$71:$K$83,'Regional regression analysis'!E202)</f>
        <v>53.411861217756417</v>
      </c>
      <c r="F15" s="122">
        <f>+INDEX('Bhakbesi.(439.35'!$K$71:$K$83,'Regional regression analysis'!F202)</f>
        <v>62.695739864474042</v>
      </c>
      <c r="G15" s="122">
        <f>+INDEX('Bhakbesi.(439.35'!$K$71:$K$83,'Regional regression analysis'!G202)</f>
        <v>71.601059154858206</v>
      </c>
      <c r="H15" s="122">
        <f>+INDEX('Bhakbesi.(439.35'!$K$71:$K$83,'Regional regression analysis'!H202)</f>
        <v>83.128081520107031</v>
      </c>
      <c r="I15" s="122">
        <f>+INDEX('Bhakbesi.(439.35'!$K$71:$K$83,'Regional regression analysis'!I202)</f>
        <v>91.765962685520023</v>
      </c>
      <c r="J15" s="122">
        <f>+INDEX('Bhakbesi.(439.35'!$K$71:$K$83,'Regional regression analysis'!J202)</f>
        <v>100.3723256735272</v>
      </c>
      <c r="K15" s="122">
        <f>+INDEX('Bhakbesi.(439.35'!$K$71:$K$83,'Regional regression analysis'!K202)</f>
        <v>111.72678741896999</v>
      </c>
      <c r="L15" s="122">
        <f>+INDEX('Bhakbesi.(439.35'!$K$71:$K$83,'Regional regression analysis'!L202)</f>
        <v>120.30822057113875</v>
      </c>
      <c r="M15" s="117"/>
      <c r="N15" s="117"/>
      <c r="O15" s="118"/>
    </row>
    <row r="16" spans="1:25" hidden="1" x14ac:dyDescent="0.35">
      <c r="A16" s="118"/>
      <c r="B16" s="114"/>
      <c r="C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8"/>
    </row>
    <row r="17" spans="1:15" hidden="1" x14ac:dyDescent="0.35">
      <c r="A17" s="118"/>
      <c r="B17" s="114"/>
      <c r="C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8"/>
    </row>
    <row r="18" spans="1:15" hidden="1" x14ac:dyDescent="0.35">
      <c r="A18" s="118"/>
      <c r="B18" s="114"/>
      <c r="C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8"/>
    </row>
    <row r="19" spans="1:15" hidden="1" x14ac:dyDescent="0.35">
      <c r="A19" s="118"/>
      <c r="B19" s="114"/>
      <c r="C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</row>
    <row r="20" spans="1:15" hidden="1" x14ac:dyDescent="0.35">
      <c r="A20" s="118"/>
      <c r="B20" s="114"/>
      <c r="C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8"/>
    </row>
    <row r="21" spans="1:15" hidden="1" x14ac:dyDescent="0.35">
      <c r="A21" s="118"/>
      <c r="B21" s="114"/>
      <c r="C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8"/>
    </row>
    <row r="22" spans="1:15" hidden="1" x14ac:dyDescent="0.35">
      <c r="A22" s="118"/>
      <c r="B22" s="114"/>
      <c r="C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8"/>
    </row>
    <row r="23" spans="1:15" hidden="1" x14ac:dyDescent="0.35">
      <c r="A23" s="118"/>
      <c r="B23" s="114"/>
      <c r="C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8"/>
    </row>
    <row r="24" spans="1:15" hidden="1" x14ac:dyDescent="0.35">
      <c r="A24" s="118"/>
      <c r="B24" s="114"/>
      <c r="C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8"/>
    </row>
    <row r="25" spans="1:15" hidden="1" x14ac:dyDescent="0.35">
      <c r="A25" s="118"/>
      <c r="B25" s="114"/>
      <c r="C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8"/>
    </row>
    <row r="26" spans="1:15" hidden="1" x14ac:dyDescent="0.35">
      <c r="A26" s="118"/>
      <c r="B26" s="114"/>
      <c r="C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8"/>
    </row>
    <row r="27" spans="1:15" hidden="1" x14ac:dyDescent="0.35">
      <c r="A27" s="118"/>
      <c r="B27" s="114"/>
      <c r="C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8"/>
    </row>
    <row r="28" spans="1:15" hidden="1" x14ac:dyDescent="0.35">
      <c r="A28" s="118"/>
      <c r="B28" s="114"/>
      <c r="C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8"/>
    </row>
    <row r="29" spans="1:15" hidden="1" x14ac:dyDescent="0.35">
      <c r="A29" s="118"/>
      <c r="B29" s="114"/>
      <c r="C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8"/>
    </row>
    <row r="30" spans="1:15" hidden="1" x14ac:dyDescent="0.35">
      <c r="A30" s="118"/>
      <c r="B30" s="114"/>
      <c r="C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8"/>
    </row>
    <row r="31" spans="1:15" hidden="1" x14ac:dyDescent="0.35">
      <c r="A31" s="118"/>
      <c r="B31" s="114"/>
      <c r="C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8"/>
    </row>
    <row r="32" spans="1:15" hidden="1" x14ac:dyDescent="0.35">
      <c r="A32" s="118"/>
      <c r="B32" s="114"/>
      <c r="C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8"/>
    </row>
    <row r="33" spans="1:15" x14ac:dyDescent="0.35">
      <c r="A33" s="118"/>
      <c r="B33" s="114"/>
      <c r="C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8"/>
    </row>
    <row r="34" spans="1:15" x14ac:dyDescent="0.35">
      <c r="A34" s="118"/>
      <c r="B34" s="114"/>
      <c r="C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8"/>
    </row>
    <row r="35" spans="1:15" x14ac:dyDescent="0.35">
      <c r="A35" s="118"/>
      <c r="B35" s="114"/>
      <c r="C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8"/>
    </row>
    <row r="36" spans="1:15" x14ac:dyDescent="0.35">
      <c r="A36" s="87" t="s">
        <v>137</v>
      </c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8"/>
    </row>
    <row r="37" spans="1:15" x14ac:dyDescent="0.35">
      <c r="A37" s="8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8"/>
    </row>
    <row r="38" spans="1:15" ht="18.75" x14ac:dyDescent="0.35">
      <c r="A38" s="104" t="s">
        <v>264</v>
      </c>
      <c r="C38" s="195">
        <f>'Station Details'!H3</f>
        <v>16800.310000000001</v>
      </c>
      <c r="D38" s="196" t="s">
        <v>104</v>
      </c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</row>
    <row r="39" spans="1:15" x14ac:dyDescent="0.35">
      <c r="A39" s="8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8"/>
    </row>
    <row r="40" spans="1:15" x14ac:dyDescent="0.35"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8"/>
    </row>
    <row r="41" spans="1:15" ht="18.75" x14ac:dyDescent="0.35">
      <c r="A41" s="181" t="s">
        <v>138</v>
      </c>
      <c r="B41" s="181" t="s">
        <v>146</v>
      </c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8"/>
    </row>
    <row r="42" spans="1:15" x14ac:dyDescent="0.35">
      <c r="A42" s="242">
        <v>2</v>
      </c>
      <c r="B42" s="266">
        <f>+$P$280*$C$38^2+$Q$280*$C$38+$R$280</f>
        <v>1734.8314203561122</v>
      </c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8"/>
    </row>
    <row r="43" spans="1:15" x14ac:dyDescent="0.35">
      <c r="A43" s="242">
        <v>2.33</v>
      </c>
      <c r="B43" s="266">
        <f>+$U$280*$C$38^2+$V$280*$C$38+$W$280</f>
        <v>1809.2333292173362</v>
      </c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8"/>
    </row>
    <row r="44" spans="1:15" x14ac:dyDescent="0.35">
      <c r="A44" s="242">
        <v>5</v>
      </c>
      <c r="B44" s="266">
        <f>+$Z$280*$C$38^2+$AA$280*$C$38+$AB$280</f>
        <v>2138.7429839482193</v>
      </c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8"/>
    </row>
    <row r="45" spans="1:15" x14ac:dyDescent="0.35">
      <c r="A45" s="242">
        <v>10</v>
      </c>
      <c r="B45" s="266">
        <f>+$P$292*$C$38^2+$Q$292*$C$38+$R$292</f>
        <v>2413.7036888961175</v>
      </c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8"/>
    </row>
    <row r="46" spans="1:15" x14ac:dyDescent="0.35">
      <c r="A46" s="242">
        <v>20</v>
      </c>
      <c r="B46" s="266">
        <f>+$U$292*$C$38^2+$V$292*$C$38+$W$292</f>
        <v>2683.1997754800686</v>
      </c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8"/>
    </row>
    <row r="47" spans="1:15" x14ac:dyDescent="0.35">
      <c r="A47" s="242">
        <v>50</v>
      </c>
      <c r="B47" s="266">
        <f>+$Z$292*$C$38^2+$AA$292*$C$38+$AB$292</f>
        <v>3041.6742675401219</v>
      </c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8"/>
    </row>
    <row r="48" spans="1:15" x14ac:dyDescent="0.35">
      <c r="A48" s="243">
        <v>100</v>
      </c>
      <c r="B48" s="267">
        <f>+$P$304*$C$38^2+$Q$304*$C$38+$R$304</f>
        <v>3318.5772245843036</v>
      </c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8"/>
    </row>
    <row r="49" spans="1:15" x14ac:dyDescent="0.35">
      <c r="A49" s="242">
        <v>200</v>
      </c>
      <c r="B49" s="266">
        <f>+$U$304*$C$38^2+$V$304*$C$38+$W$304</f>
        <v>3602.5271530325663</v>
      </c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8"/>
    </row>
    <row r="50" spans="1:15" x14ac:dyDescent="0.35">
      <c r="A50" s="242">
        <v>500</v>
      </c>
      <c r="B50" s="266">
        <f>+$Z$304*$C$38^2+$AA$304*$C$38+$AB$304</f>
        <v>3990.9480152374672</v>
      </c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8"/>
    </row>
    <row r="51" spans="1:15" x14ac:dyDescent="0.35">
      <c r="A51" s="242">
        <v>1000</v>
      </c>
      <c r="B51" s="266">
        <f>+$P$316*$C$38^2+$Q$316*$C$38+$R$316</f>
        <v>4296.0227548188705</v>
      </c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8"/>
    </row>
    <row r="52" spans="1:15" x14ac:dyDescent="0.35">
      <c r="A52" s="242">
        <v>10000</v>
      </c>
      <c r="B52" s="266">
        <f>+$Z$316*$C$38^2+$AA$316*$C$38+$AB$316</f>
        <v>5391.1956627870895</v>
      </c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8"/>
    </row>
    <row r="53" spans="1:15" x14ac:dyDescent="0.35">
      <c r="A53" s="118"/>
      <c r="B53" s="114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8"/>
    </row>
    <row r="54" spans="1:15" x14ac:dyDescent="0.35">
      <c r="A54" s="126" t="s">
        <v>149</v>
      </c>
      <c r="B54" s="169"/>
      <c r="C54" s="168"/>
      <c r="D54" s="8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8"/>
    </row>
    <row r="55" spans="1:15" x14ac:dyDescent="0.35">
      <c r="A55" s="112" t="str">
        <f>'CAR FFA '!A8</f>
        <v>1) Sabhaya at Tumlingtar (602)</v>
      </c>
      <c r="B55" s="114"/>
      <c r="C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8"/>
    </row>
    <row r="56" spans="1:15" x14ac:dyDescent="0.35">
      <c r="B56" s="118"/>
      <c r="C56" s="118"/>
      <c r="E56" s="118"/>
      <c r="F56" s="118"/>
      <c r="G56" s="118"/>
      <c r="H56" s="118"/>
      <c r="I56" s="118"/>
      <c r="J56" s="118"/>
      <c r="K56" s="118"/>
      <c r="L56" s="118"/>
      <c r="M56" s="111"/>
      <c r="N56" s="111"/>
      <c r="O56" s="111"/>
    </row>
    <row r="57" spans="1:15" x14ac:dyDescent="0.35">
      <c r="A57" s="355" t="s">
        <v>0</v>
      </c>
      <c r="B57" s="353" t="s">
        <v>1</v>
      </c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111"/>
    </row>
    <row r="58" spans="1:15" x14ac:dyDescent="0.35">
      <c r="A58" s="355"/>
      <c r="B58" s="302">
        <v>1</v>
      </c>
      <c r="C58" s="302">
        <v>2</v>
      </c>
      <c r="D58" s="302">
        <v>2.33</v>
      </c>
      <c r="E58" s="302">
        <v>5</v>
      </c>
      <c r="F58" s="302">
        <v>10</v>
      </c>
      <c r="G58" s="302">
        <v>20</v>
      </c>
      <c r="H58" s="302">
        <v>50</v>
      </c>
      <c r="I58" s="302">
        <v>100</v>
      </c>
      <c r="J58" s="302">
        <v>200</v>
      </c>
      <c r="K58" s="302">
        <v>500</v>
      </c>
      <c r="L58" s="302">
        <v>1000</v>
      </c>
      <c r="M58" s="302">
        <v>5000</v>
      </c>
      <c r="N58" s="302">
        <v>10000</v>
      </c>
      <c r="O58" s="111"/>
    </row>
    <row r="59" spans="1:15" x14ac:dyDescent="0.35">
      <c r="A59" s="115" t="s">
        <v>8</v>
      </c>
      <c r="B59" s="123">
        <f>+INDEX('Sabhaya (602)'!$F$64:$F$76,'Regional regression analysis'!B202,)</f>
        <v>57.158055267065038</v>
      </c>
      <c r="C59" s="123">
        <f>+INDEX('Sabhaya (602)'!$F$64:$F$76,'Regional regression analysis'!C202,)</f>
        <v>213.15253905200939</v>
      </c>
      <c r="D59" s="123">
        <f>+INDEX('Sabhaya (602)'!$F$64:$F$76,'Regional regression analysis'!D202,)</f>
        <v>233.97028877787514</v>
      </c>
      <c r="E59" s="123">
        <f>+INDEX('Sabhaya (602)'!$F$64:$F$76,'Regional regression analysis'!E202,)</f>
        <v>331.05281186580021</v>
      </c>
      <c r="F59" s="123">
        <f>+INDEX('Sabhaya (602)'!$F$64:$F$76,'Regional regression analysis'!F202,)</f>
        <v>416.81317130861322</v>
      </c>
      <c r="G59" s="123">
        <f>+INDEX('Sabhaya (602)'!$F$64:$F$76,'Regional regression analysis'!G202,)</f>
        <v>504.12295393693108</v>
      </c>
      <c r="H59" s="123">
        <f>+INDEX('Sabhaya (602)'!$F$64:$F$76,'Regional regression analysis'!H202,)</f>
        <v>624.40916039663659</v>
      </c>
      <c r="I59" s="123">
        <f>+INDEX('Sabhaya (602)'!$F$64:$F$76,'Regional regression analysis'!I202,)</f>
        <v>720.1318268818294</v>
      </c>
      <c r="J59" s="123">
        <f>+INDEX('Sabhaya (602)'!$F$64:$F$76,'Regional regression analysis'!J202,)</f>
        <v>820.5314170936748</v>
      </c>
      <c r="K59" s="123">
        <f>+INDEX('Sabhaya (602)'!$F$64:$F$76,'Regional regression analysis'!K202,)</f>
        <v>961.1266916405807</v>
      </c>
      <c r="L59" s="123">
        <f>+INDEX('Sabhaya (602)'!$F$64:$F$76,'Regional regression analysis'!L202,)</f>
        <v>1073.8842560568332</v>
      </c>
      <c r="M59" s="123">
        <f>+INDEX('Sabhaya (602)'!$F$64:$F$76,'Regional regression analysis'!M202,)</f>
        <v>1358.7786505301519</v>
      </c>
      <c r="N59" s="123">
        <f>+INDEX('Sabhaya (602)'!$F$64:$F$76,'Regional regression analysis'!N202,)</f>
        <v>1492.0930645913115</v>
      </c>
      <c r="O59" s="111"/>
    </row>
    <row r="60" spans="1:15" x14ac:dyDescent="0.35">
      <c r="A60" s="120" t="s">
        <v>9</v>
      </c>
      <c r="B60" s="124">
        <f>+INDEX('Sabhaya (602)'!$I$64:$I$76,'Regional regression analysis'!B202,)</f>
        <v>63.909732208790039</v>
      </c>
      <c r="C60" s="124">
        <f>+INDEX('Sabhaya (602)'!$I$64:$I$76,'Regional regression analysis'!C202,)</f>
        <v>208.72311928241675</v>
      </c>
      <c r="D60" s="124">
        <f>+INDEX('Sabhaya (602)'!$I$64:$I$76,'Regional regression analysis'!D202,)</f>
        <v>229.19227819315168</v>
      </c>
      <c r="E60" s="124">
        <f>+INDEX('Sabhaya (602)'!$I$64:$I$76,'Regional regression analysis'!E202,)</f>
        <v>328.61695761715146</v>
      </c>
      <c r="F60" s="124">
        <f>+INDEX('Sabhaya (602)'!$I$64:$I$76,'Regional regression analysis'!F202,)</f>
        <v>421.81397434430409</v>
      </c>
      <c r="G60" s="124">
        <f>+INDEX('Sabhaya (602)'!$I$64:$I$76,'Regional regression analysis'!G202,)</f>
        <v>521.7221182634928</v>
      </c>
      <c r="H60" s="124">
        <f>+INDEX('Sabhaya (602)'!$I$64:$I$76,'Regional regression analysis'!H202,)</f>
        <v>667.3998086767142</v>
      </c>
      <c r="I60" s="124">
        <f>+INDEX('Sabhaya (602)'!$I$64:$I$76,'Regional regression analysis'!I202,)</f>
        <v>789.77090878732395</v>
      </c>
      <c r="J60" s="124">
        <f>+INDEX('Sabhaya (602)'!$I$64:$I$76,'Regional regression analysis'!J202,)</f>
        <v>924.07362705970502</v>
      </c>
      <c r="K60" s="124">
        <f>+INDEX('Sabhaya (602)'!$I$64:$I$76,'Regional regression analysis'!K202,)</f>
        <v>1122.1056650270341</v>
      </c>
      <c r="L60" s="124">
        <f>+INDEX('Sabhaya (602)'!$I$64:$I$76,'Regional regression analysis'!L202,)</f>
        <v>1289.1112224289388</v>
      </c>
      <c r="M60" s="124">
        <f>+INDEX('Sabhaya (602)'!$I$64:$I$76,'Regional regression analysis'!M202,)</f>
        <v>1742.4704713500792</v>
      </c>
      <c r="N60" s="124">
        <f>+INDEX('Sabhaya (602)'!$I$64:$I$76,'Regional regression analysis'!N202,)</f>
        <v>1969.6530292179168</v>
      </c>
      <c r="O60" s="111"/>
    </row>
    <row r="61" spans="1:15" x14ac:dyDescent="0.35">
      <c r="A61" s="115" t="s">
        <v>7</v>
      </c>
      <c r="B61" s="123" t="s">
        <v>73</v>
      </c>
      <c r="C61" s="123">
        <f>+INDEX('Sabhaya (602)'!$K$64:$K$76,'Regional regression analysis'!C202,)</f>
        <v>222.04711906078251</v>
      </c>
      <c r="D61" s="123">
        <f>+INDEX('Sabhaya (602)'!$K$64:$K$76,'Regional regression analysis'!D202,)</f>
        <v>244.40554609037258</v>
      </c>
      <c r="E61" s="123">
        <f>+INDEX('Sabhaya (602)'!$K$64:$K$76,'Regional regression analysis'!E202,)</f>
        <v>341.54069127328745</v>
      </c>
      <c r="F61" s="123">
        <f>+INDEX('Sabhaya (602)'!$K$64:$K$76,'Regional regression analysis'!F202,)</f>
        <v>420.65583355675994</v>
      </c>
      <c r="G61" s="123">
        <f>+INDEX('Sabhaya (602)'!$K$64:$K$76,'Regional regression analysis'!G202,)</f>
        <v>496.54497747481309</v>
      </c>
      <c r="H61" s="123">
        <f>+INDEX('Sabhaya (602)'!$K$64:$K$76,'Regional regression analysis'!H202,)</f>
        <v>594.77569000721576</v>
      </c>
      <c r="I61" s="123">
        <f>+INDEX('Sabhaya (602)'!$K$64:$K$76,'Regional regression analysis'!I202,)</f>
        <v>668.38578589865574</v>
      </c>
      <c r="J61" s="123">
        <f>+INDEX('Sabhaya (602)'!$K$64:$K$76,'Regional regression analysis'!J202,)</f>
        <v>741.72729091500298</v>
      </c>
      <c r="K61" s="123">
        <f>+INDEX('Sabhaya (602)'!$K$64:$K$76,'Regional regression analysis'!K202,)</f>
        <v>838.4874803494647</v>
      </c>
      <c r="L61" s="123">
        <f>+INDEX('Sabhaya (602)'!$K$64:$K$76,'Regional regression analysis'!L202,)</f>
        <v>911.61653886747706</v>
      </c>
      <c r="M61" s="123">
        <f>+INDEX('Sabhaya (602)'!$K$64:$K$76,'Regional regression analysis'!M202,)</f>
        <v>1081.3365962877986</v>
      </c>
      <c r="N61" s="123">
        <f>+INDEX('Sabhaya (602)'!$K$64:$K$76,'Regional regression analysis'!N202,)</f>
        <v>1154.4181474272866</v>
      </c>
      <c r="O61" s="111"/>
    </row>
    <row r="62" spans="1:15" ht="15.75" customHeight="1" x14ac:dyDescent="0.35">
      <c r="A62" s="118"/>
      <c r="B62" s="114"/>
      <c r="C62" s="113"/>
      <c r="E62" s="113"/>
      <c r="F62" s="113"/>
      <c r="G62" s="113"/>
      <c r="H62" s="113"/>
      <c r="I62" s="113"/>
      <c r="J62" s="113"/>
      <c r="K62" s="113"/>
      <c r="L62" s="113"/>
      <c r="M62" s="114"/>
      <c r="N62" s="114"/>
      <c r="O62" s="111"/>
    </row>
    <row r="63" spans="1:15" ht="15.75" customHeight="1" x14ac:dyDescent="0.35">
      <c r="A63" s="118"/>
      <c r="B63" s="114"/>
      <c r="C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1"/>
    </row>
    <row r="64" spans="1:15" ht="15.75" customHeight="1" x14ac:dyDescent="0.35">
      <c r="A64" s="118"/>
      <c r="B64" s="114"/>
      <c r="C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1"/>
    </row>
    <row r="65" spans="1:15" ht="15.75" customHeight="1" x14ac:dyDescent="0.35">
      <c r="A65" s="118"/>
      <c r="B65" s="114"/>
      <c r="C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1"/>
    </row>
    <row r="66" spans="1:15" ht="15.75" customHeight="1" x14ac:dyDescent="0.35">
      <c r="A66" s="118"/>
      <c r="B66" s="114"/>
      <c r="C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1"/>
    </row>
    <row r="67" spans="1:15" ht="15.75" customHeight="1" x14ac:dyDescent="0.35">
      <c r="A67" s="118"/>
      <c r="B67" s="114"/>
      <c r="C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1"/>
    </row>
    <row r="68" spans="1:15" ht="15.75" customHeight="1" x14ac:dyDescent="0.35">
      <c r="A68" s="118"/>
      <c r="B68" s="114"/>
      <c r="C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1"/>
    </row>
    <row r="69" spans="1:15" ht="15.75" customHeight="1" x14ac:dyDescent="0.35">
      <c r="A69" s="118"/>
      <c r="B69" s="114"/>
      <c r="C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1"/>
    </row>
    <row r="70" spans="1:15" ht="15.75" customHeight="1" x14ac:dyDescent="0.35">
      <c r="A70" s="118"/>
      <c r="B70" s="114"/>
      <c r="C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1"/>
    </row>
    <row r="71" spans="1:15" ht="15.75" customHeight="1" x14ac:dyDescent="0.35">
      <c r="A71" s="118"/>
      <c r="B71" s="114"/>
      <c r="C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1"/>
    </row>
    <row r="72" spans="1:15" ht="15.75" customHeight="1" x14ac:dyDescent="0.35">
      <c r="A72" s="118"/>
      <c r="B72" s="114"/>
      <c r="C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1"/>
    </row>
    <row r="73" spans="1:15" ht="15.75" customHeight="1" x14ac:dyDescent="0.35">
      <c r="A73" s="118"/>
      <c r="B73" s="114"/>
      <c r="C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1"/>
    </row>
    <row r="74" spans="1:15" ht="15.75" customHeight="1" x14ac:dyDescent="0.35">
      <c r="A74" s="118"/>
      <c r="B74" s="114"/>
      <c r="C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1"/>
    </row>
    <row r="75" spans="1:15" ht="15.75" customHeight="1" x14ac:dyDescent="0.35">
      <c r="A75" s="118"/>
      <c r="B75" s="114"/>
      <c r="C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1"/>
    </row>
    <row r="76" spans="1:15" ht="15.75" customHeight="1" x14ac:dyDescent="0.35">
      <c r="A76" s="118"/>
      <c r="B76" s="114"/>
      <c r="C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1"/>
    </row>
    <row r="77" spans="1:15" ht="15.75" customHeight="1" x14ac:dyDescent="0.35">
      <c r="A77" s="118"/>
      <c r="B77" s="114"/>
      <c r="C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1"/>
    </row>
    <row r="78" spans="1:15" ht="15.75" customHeight="1" x14ac:dyDescent="0.35">
      <c r="A78" s="118"/>
      <c r="B78" s="114"/>
      <c r="C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1"/>
    </row>
    <row r="79" spans="1:15" ht="15.75" customHeight="1" x14ac:dyDescent="0.35">
      <c r="A79" s="118"/>
      <c r="B79" s="114"/>
      <c r="C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1"/>
    </row>
    <row r="80" spans="1:15" x14ac:dyDescent="0.35">
      <c r="A80" s="112" t="str">
        <f>'CAR FFA '!A32</f>
        <v>2) Hinwa (602.5)</v>
      </c>
      <c r="B80" s="114"/>
      <c r="C80" s="117"/>
      <c r="E80" s="117"/>
      <c r="F80" s="117"/>
      <c r="G80" s="117"/>
      <c r="H80" s="117"/>
      <c r="I80" s="117"/>
      <c r="J80" s="117"/>
      <c r="K80" s="117"/>
      <c r="L80" s="117"/>
      <c r="M80" s="114"/>
      <c r="N80" s="114"/>
      <c r="O80" s="111"/>
    </row>
    <row r="81" spans="1:15" x14ac:dyDescent="0.35">
      <c r="B81" s="118"/>
      <c r="C81" s="118"/>
      <c r="E81" s="118"/>
      <c r="F81" s="118"/>
      <c r="G81" s="118"/>
      <c r="H81" s="118"/>
      <c r="I81" s="118"/>
      <c r="J81" s="118"/>
      <c r="K81" s="118"/>
      <c r="L81" s="118"/>
      <c r="M81" s="117"/>
      <c r="N81" s="117"/>
      <c r="O81" s="111"/>
    </row>
    <row r="82" spans="1:15" x14ac:dyDescent="0.35">
      <c r="A82" s="355" t="s">
        <v>0</v>
      </c>
      <c r="B82" s="353" t="s">
        <v>1</v>
      </c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111"/>
    </row>
    <row r="83" spans="1:15" x14ac:dyDescent="0.35">
      <c r="A83" s="355"/>
      <c r="B83" s="302">
        <v>1</v>
      </c>
      <c r="C83" s="302">
        <v>2</v>
      </c>
      <c r="D83" s="302">
        <v>2.33</v>
      </c>
      <c r="E83" s="302">
        <v>5</v>
      </c>
      <c r="F83" s="302">
        <v>10</v>
      </c>
      <c r="G83" s="302">
        <v>20</v>
      </c>
      <c r="H83" s="302">
        <v>50</v>
      </c>
      <c r="I83" s="302">
        <v>100</v>
      </c>
      <c r="J83" s="302">
        <v>200</v>
      </c>
      <c r="K83" s="302">
        <v>500</v>
      </c>
      <c r="L83" s="302">
        <v>1000</v>
      </c>
      <c r="M83" s="302">
        <v>5000</v>
      </c>
      <c r="N83" s="302">
        <v>10000</v>
      </c>
      <c r="O83" s="111"/>
    </row>
    <row r="84" spans="1:15" x14ac:dyDescent="0.35">
      <c r="A84" s="115" t="s">
        <v>8</v>
      </c>
      <c r="B84" s="123">
        <f>+INDEX('Hinwa (602.5)'!$F$63:$F$75,B202,)</f>
        <v>15.951153579774674</v>
      </c>
      <c r="C84" s="123">
        <f>+INDEX('Hinwa (602.5)'!$F$63:$F$75,C202,)</f>
        <v>42.577130397333633</v>
      </c>
      <c r="D84" s="123">
        <f>+INDEX('Hinwa (602.5)'!$F$63:$F$75,D202,)</f>
        <v>45.641971161295515</v>
      </c>
      <c r="E84" s="123">
        <f>+INDEX('Hinwa (602.5)'!$F$63:$F$75,E202,)</f>
        <v>59.129413881409512</v>
      </c>
      <c r="F84" s="123">
        <f>+INDEX('Hinwa (602.5)'!$F$63:$F$75,F202,)</f>
        <v>70.214963872933595</v>
      </c>
      <c r="G84" s="123">
        <f>+INDEX('Hinwa (602.5)'!$F$63:$F$75,G202,)</f>
        <v>80.917029594133382</v>
      </c>
      <c r="H84" s="123">
        <f>+INDEX('Hinwa (602.5)'!$F$63:$F$75,H202,)</f>
        <v>94.920812244672803</v>
      </c>
      <c r="I84" s="123">
        <f>+INDEX('Hinwa (602.5)'!$F$63:$F$75,I202,)</f>
        <v>105.57631447132336</v>
      </c>
      <c r="J84" s="123">
        <f>+INDEX('Hinwa (602.5)'!$F$63:$F$75,J202,)</f>
        <v>116.37194637625507</v>
      </c>
      <c r="K84" s="123">
        <f>+INDEX('Hinwa (602.5)'!$F$63:$F$75,K202,)</f>
        <v>130.94319439345239</v>
      </c>
      <c r="L84" s="123">
        <f>+INDEX('Hinwa (602.5)'!$F$63:$F$75,L202,)</f>
        <v>142.23928486266499</v>
      </c>
      <c r="M84" s="123">
        <f>+INDEX('Hinwa (602.5)'!$F$63:$F$75,M202,)</f>
        <v>169.53026550489457</v>
      </c>
      <c r="N84" s="123">
        <f>+INDEX('Hinwa (602.5)'!$F$63:$F$75,N202,)</f>
        <v>181.78886327982059</v>
      </c>
      <c r="O84" s="111"/>
    </row>
    <row r="85" spans="1:15" x14ac:dyDescent="0.35">
      <c r="A85" s="120" t="s">
        <v>9</v>
      </c>
      <c r="B85" s="122">
        <f>+INDEX('Hinwa (602.5)'!$I$63:$I$75,B202,)</f>
        <v>12.825804868029152</v>
      </c>
      <c r="C85" s="122">
        <f>+INDEX('Hinwa (602.5)'!$I$63:$I$75,C202,)</f>
        <v>44.344889420037198</v>
      </c>
      <c r="D85" s="122">
        <f>+INDEX('Hinwa (602.5)'!$I$63:$I$75,D202,)</f>
        <v>47.403206648033475</v>
      </c>
      <c r="E85" s="122">
        <f>+INDEX('Hinwa (602.5)'!$I$63:$I$75,E202,)</f>
        <v>59.4543501119458</v>
      </c>
      <c r="F85" s="122">
        <f>+INDEX('Hinwa (602.5)'!$I$63:$I$75,F202,)</f>
        <v>67.856742666381422</v>
      </c>
      <c r="G85" s="122">
        <f>+INDEX('Hinwa (602.5)'!$I$63:$I$75,G202,)</f>
        <v>74.906371941649638</v>
      </c>
      <c r="H85" s="122">
        <f>+INDEX('Hinwa (602.5)'!$I$63:$I$75,H202,)</f>
        <v>82.836814689646829</v>
      </c>
      <c r="I85" s="122">
        <f>+INDEX('Hinwa (602.5)'!$I$63:$I$75,I202,)</f>
        <v>88.059088017740635</v>
      </c>
      <c r="J85" s="122">
        <f>+INDEX('Hinwa (602.5)'!$I$63:$I$75,J202,)</f>
        <v>92.755247904493885</v>
      </c>
      <c r="K85" s="122">
        <f>+INDEX('Hinwa (602.5)'!$I$63:$I$75,K202,)</f>
        <v>98.298929341233631</v>
      </c>
      <c r="L85" s="122">
        <f>+INDEX('Hinwa (602.5)'!$I$63:$I$75,L202,)</f>
        <v>102.06810674481247</v>
      </c>
      <c r="M85" s="122">
        <f>+INDEX('Hinwa (602.5)'!$I$63:$I$75,M202,)</f>
        <v>109.66579975735466</v>
      </c>
      <c r="N85" s="122">
        <f>+INDEX('Hinwa (602.5)'!$I$63:$I$75,N202,)</f>
        <v>112.51686246532758</v>
      </c>
      <c r="O85" s="111"/>
    </row>
    <row r="86" spans="1:15" x14ac:dyDescent="0.35">
      <c r="A86" s="115" t="s">
        <v>7</v>
      </c>
      <c r="B86" s="119" t="s">
        <v>73</v>
      </c>
      <c r="C86" s="119">
        <f>+INDEX('Hinwa (602.5)'!$K$63:$K$75,C202,)</f>
        <v>42.938933036017502</v>
      </c>
      <c r="D86" s="119">
        <f>+INDEX('Hinwa (602.5)'!$K$63:$K$75,D202,)</f>
        <v>45.59637317870736</v>
      </c>
      <c r="E86" s="119">
        <f>+INDEX('Hinwa (602.5)'!$K$63:$K$75,E202,)</f>
        <v>57.141498143601538</v>
      </c>
      <c r="F86" s="119">
        <f>+INDEX('Hinwa (602.5)'!$K$63:$K$75,F202,)</f>
        <v>66.544832050788926</v>
      </c>
      <c r="G86" s="119">
        <f>+INDEX('Hinwa (602.5)'!$K$63:$K$75,G202,)</f>
        <v>75.564735694963105</v>
      </c>
      <c r="H86" s="119">
        <f>+INDEX('Hinwa (602.5)'!$K$63:$K$75,H202,)</f>
        <v>87.240075752792762</v>
      </c>
      <c r="I86" s="119">
        <f>+INDEX('Hinwa (602.5)'!$K$63:$K$75,I202,)</f>
        <v>95.98910015733955</v>
      </c>
      <c r="J86" s="119">
        <f>+INDEX('Hinwa (602.5)'!$K$63:$K$75,J202,)</f>
        <v>104.70620084147045</v>
      </c>
      <c r="K86" s="119">
        <f>+INDEX('Hinwa (602.5)'!$K$63:$K$75,K202,)</f>
        <v>116.20675994954684</v>
      </c>
      <c r="L86" s="119">
        <f>+INDEX('Hinwa (602.5)'!$K$63:$K$75,L202,)</f>
        <v>124.89861002673202</v>
      </c>
      <c r="M86" s="119">
        <f>+INDEX('Hinwa (602.5)'!$K$63:$K$75,M202,)</f>
        <v>145.07090984959029</v>
      </c>
      <c r="N86" s="119">
        <f>+INDEX('Hinwa (602.5)'!$K$63:$K$75,N202,)</f>
        <v>153.75711337504814</v>
      </c>
      <c r="O86" s="111"/>
    </row>
    <row r="87" spans="1:15" x14ac:dyDescent="0.35">
      <c r="A87" s="126"/>
      <c r="B87" s="118"/>
      <c r="C87" s="118"/>
      <c r="E87" s="117"/>
      <c r="F87" s="117"/>
      <c r="G87" s="117"/>
      <c r="I87" s="117"/>
      <c r="J87" s="117"/>
      <c r="K87" s="117"/>
      <c r="L87" s="117"/>
      <c r="M87" s="125"/>
      <c r="N87" s="125"/>
      <c r="O87" s="111"/>
    </row>
    <row r="88" spans="1:15" x14ac:dyDescent="0.35">
      <c r="A88" s="127"/>
      <c r="B88" s="118"/>
      <c r="C88" s="117"/>
      <c r="E88" s="117"/>
      <c r="F88" s="117"/>
      <c r="G88" s="117"/>
      <c r="I88" s="117"/>
      <c r="J88" s="117"/>
      <c r="K88" s="117"/>
      <c r="L88" s="117"/>
      <c r="M88" s="125"/>
      <c r="N88" s="125"/>
      <c r="O88" s="111"/>
    </row>
    <row r="89" spans="1:15" x14ac:dyDescent="0.35">
      <c r="A89" s="127"/>
      <c r="B89" s="118"/>
      <c r="C89" s="117"/>
      <c r="E89" s="117"/>
      <c r="F89" s="117"/>
      <c r="G89" s="117"/>
      <c r="I89" s="117"/>
      <c r="J89" s="117"/>
      <c r="K89" s="117"/>
      <c r="L89" s="117"/>
      <c r="M89" s="125"/>
      <c r="N89" s="125"/>
      <c r="O89" s="111"/>
    </row>
    <row r="90" spans="1:15" x14ac:dyDescent="0.35">
      <c r="A90" s="127"/>
      <c r="B90" s="118"/>
      <c r="C90" s="117"/>
      <c r="E90" s="117"/>
      <c r="F90" s="117"/>
      <c r="G90" s="117"/>
      <c r="I90" s="117"/>
      <c r="J90" s="117"/>
      <c r="K90" s="117"/>
      <c r="L90" s="117"/>
      <c r="M90" s="125"/>
      <c r="N90" s="125"/>
      <c r="O90" s="111"/>
    </row>
    <row r="91" spans="1:15" x14ac:dyDescent="0.35">
      <c r="A91" s="127"/>
      <c r="B91" s="118"/>
      <c r="C91" s="117"/>
      <c r="E91" s="117"/>
      <c r="F91" s="117"/>
      <c r="G91" s="117"/>
      <c r="I91" s="117"/>
      <c r="J91" s="117"/>
      <c r="K91" s="117"/>
      <c r="L91" s="117"/>
      <c r="M91" s="125"/>
      <c r="N91" s="125"/>
      <c r="O91" s="111"/>
    </row>
    <row r="92" spans="1:15" x14ac:dyDescent="0.35">
      <c r="A92" s="127"/>
      <c r="B92" s="118"/>
      <c r="C92" s="117"/>
      <c r="E92" s="117"/>
      <c r="F92" s="117"/>
      <c r="G92" s="117"/>
      <c r="I92" s="117"/>
      <c r="J92" s="117"/>
      <c r="K92" s="117"/>
      <c r="L92" s="117"/>
      <c r="M92" s="125"/>
      <c r="N92" s="125"/>
      <c r="O92" s="111"/>
    </row>
    <row r="93" spans="1:15" x14ac:dyDescent="0.35">
      <c r="A93" s="127"/>
      <c r="B93" s="118"/>
      <c r="C93" s="117"/>
      <c r="E93" s="117"/>
      <c r="F93" s="117"/>
      <c r="G93" s="117"/>
      <c r="I93" s="117"/>
      <c r="J93" s="117"/>
      <c r="K93" s="117"/>
      <c r="L93" s="117"/>
      <c r="M93" s="125"/>
      <c r="N93" s="125"/>
      <c r="O93" s="111"/>
    </row>
    <row r="94" spans="1:15" x14ac:dyDescent="0.35">
      <c r="A94" s="127"/>
      <c r="B94" s="118"/>
      <c r="C94" s="117"/>
      <c r="E94" s="117"/>
      <c r="F94" s="117"/>
      <c r="G94" s="117"/>
      <c r="I94" s="117"/>
      <c r="J94" s="117"/>
      <c r="K94" s="117"/>
      <c r="L94" s="117"/>
      <c r="M94" s="125"/>
      <c r="N94" s="125"/>
      <c r="O94" s="111"/>
    </row>
    <row r="95" spans="1:15" x14ac:dyDescent="0.35">
      <c r="A95" s="127"/>
      <c r="B95" s="118"/>
      <c r="C95" s="117"/>
      <c r="E95" s="117"/>
      <c r="F95" s="117"/>
      <c r="G95" s="117"/>
      <c r="I95" s="117"/>
      <c r="J95" s="117"/>
      <c r="K95" s="117"/>
      <c r="L95" s="117"/>
      <c r="M95" s="125"/>
      <c r="N95" s="125"/>
      <c r="O95" s="111"/>
    </row>
    <row r="96" spans="1:15" x14ac:dyDescent="0.35">
      <c r="A96" s="127"/>
      <c r="B96" s="118"/>
      <c r="C96" s="117"/>
      <c r="E96" s="117"/>
      <c r="F96" s="117"/>
      <c r="G96" s="117"/>
      <c r="I96" s="117"/>
      <c r="J96" s="117"/>
      <c r="K96" s="117"/>
      <c r="L96" s="117"/>
      <c r="M96" s="125"/>
      <c r="N96" s="125"/>
      <c r="O96" s="111"/>
    </row>
    <row r="97" spans="1:15" x14ac:dyDescent="0.35">
      <c r="A97" s="127"/>
      <c r="B97" s="118"/>
      <c r="C97" s="117"/>
      <c r="E97" s="117"/>
      <c r="F97" s="117"/>
      <c r="G97" s="117"/>
      <c r="I97" s="117"/>
      <c r="J97" s="117"/>
      <c r="K97" s="117"/>
      <c r="L97" s="117"/>
      <c r="M97" s="125"/>
      <c r="N97" s="125"/>
      <c r="O97" s="111"/>
    </row>
    <row r="98" spans="1:15" x14ac:dyDescent="0.35">
      <c r="A98" s="127"/>
      <c r="B98" s="118"/>
      <c r="C98" s="117"/>
      <c r="E98" s="117"/>
      <c r="F98" s="117"/>
      <c r="G98" s="117"/>
      <c r="I98" s="117"/>
      <c r="J98" s="117"/>
      <c r="K98" s="117"/>
      <c r="L98" s="117"/>
      <c r="M98" s="125"/>
      <c r="N98" s="125"/>
      <c r="O98" s="111"/>
    </row>
    <row r="99" spans="1:15" x14ac:dyDescent="0.35">
      <c r="A99" s="127"/>
      <c r="B99" s="118"/>
      <c r="C99" s="117"/>
      <c r="E99" s="117"/>
      <c r="F99" s="117"/>
      <c r="G99" s="117"/>
      <c r="I99" s="117"/>
      <c r="J99" s="117"/>
      <c r="K99" s="117"/>
      <c r="L99" s="117"/>
      <c r="M99" s="125"/>
      <c r="N99" s="125"/>
      <c r="O99" s="111"/>
    </row>
    <row r="100" spans="1:15" x14ac:dyDescent="0.35">
      <c r="A100" s="127"/>
      <c r="B100" s="118"/>
      <c r="C100" s="117"/>
      <c r="E100" s="117"/>
      <c r="F100" s="117"/>
      <c r="G100" s="117"/>
      <c r="I100" s="117"/>
      <c r="J100" s="117"/>
      <c r="K100" s="117"/>
      <c r="L100" s="117"/>
      <c r="M100" s="125"/>
      <c r="N100" s="125"/>
      <c r="O100" s="111"/>
    </row>
    <row r="101" spans="1:15" x14ac:dyDescent="0.35">
      <c r="A101" s="127"/>
      <c r="B101" s="118"/>
      <c r="C101" s="117"/>
      <c r="E101" s="117"/>
      <c r="F101" s="117"/>
      <c r="G101" s="117"/>
      <c r="I101" s="117"/>
      <c r="J101" s="117"/>
      <c r="K101" s="117"/>
      <c r="L101" s="117"/>
      <c r="M101" s="125"/>
      <c r="N101" s="125"/>
      <c r="O101" s="111"/>
    </row>
    <row r="102" spans="1:15" x14ac:dyDescent="0.35">
      <c r="B102" s="114"/>
      <c r="C102" s="117"/>
      <c r="E102" s="117"/>
      <c r="F102" s="117"/>
      <c r="G102" s="117"/>
      <c r="H102" s="118"/>
      <c r="I102" s="117"/>
      <c r="J102" s="117"/>
      <c r="K102" s="117"/>
      <c r="L102" s="117"/>
      <c r="M102" s="125"/>
      <c r="N102" s="125"/>
      <c r="O102" s="111"/>
    </row>
    <row r="103" spans="1:15" x14ac:dyDescent="0.35">
      <c r="A103" s="112" t="str">
        <f>'CAR FFA '!A56</f>
        <v>3) Arun River at Turkeghat (604.5)</v>
      </c>
      <c r="B103" s="114"/>
      <c r="C103" s="117"/>
      <c r="E103" s="117"/>
      <c r="F103" s="117"/>
      <c r="G103" s="117"/>
      <c r="H103" s="118"/>
      <c r="I103" s="117"/>
      <c r="J103" s="117"/>
      <c r="K103" s="117"/>
      <c r="L103" s="117"/>
      <c r="M103" s="125"/>
      <c r="N103" s="125"/>
      <c r="O103" s="111"/>
    </row>
    <row r="104" spans="1:15" x14ac:dyDescent="0.35">
      <c r="B104" s="118"/>
      <c r="C104" s="118"/>
      <c r="E104" s="118"/>
      <c r="F104" s="118"/>
      <c r="G104" s="118"/>
      <c r="H104" s="118"/>
      <c r="I104" s="118"/>
      <c r="J104" s="118"/>
      <c r="K104" s="118"/>
      <c r="L104" s="118"/>
      <c r="M104" s="125"/>
      <c r="N104" s="125"/>
      <c r="O104" s="111"/>
    </row>
    <row r="105" spans="1:15" x14ac:dyDescent="0.35">
      <c r="A105" s="355" t="s">
        <v>0</v>
      </c>
      <c r="B105" s="353" t="s">
        <v>1</v>
      </c>
      <c r="C105" s="353"/>
      <c r="D105" s="353"/>
      <c r="E105" s="353"/>
      <c r="F105" s="353"/>
      <c r="G105" s="353"/>
      <c r="H105" s="353"/>
      <c r="I105" s="353"/>
      <c r="J105" s="353"/>
      <c r="K105" s="353"/>
      <c r="L105" s="353"/>
      <c r="M105" s="353"/>
      <c r="N105" s="353"/>
      <c r="O105" s="111"/>
    </row>
    <row r="106" spans="1:15" x14ac:dyDescent="0.35">
      <c r="A106" s="355"/>
      <c r="B106" s="302">
        <v>1</v>
      </c>
      <c r="C106" s="302">
        <v>2</v>
      </c>
      <c r="D106" s="302">
        <v>2.33</v>
      </c>
      <c r="E106" s="302">
        <v>5</v>
      </c>
      <c r="F106" s="302">
        <v>10</v>
      </c>
      <c r="G106" s="302">
        <v>20</v>
      </c>
      <c r="H106" s="302">
        <v>50</v>
      </c>
      <c r="I106" s="302">
        <v>100</v>
      </c>
      <c r="J106" s="302">
        <v>200</v>
      </c>
      <c r="K106" s="302">
        <v>500</v>
      </c>
      <c r="L106" s="302">
        <v>1000</v>
      </c>
      <c r="M106" s="302">
        <v>5000</v>
      </c>
      <c r="N106" s="302">
        <v>10000</v>
      </c>
      <c r="O106" s="111"/>
    </row>
    <row r="107" spans="1:15" x14ac:dyDescent="0.35">
      <c r="A107" s="115" t="s">
        <v>8</v>
      </c>
      <c r="B107" s="123">
        <f>+INDEX('Arun River at Turkeghat (604.5)'!$F$55:$F$67,'Regional regression analysis'!B202,)</f>
        <v>1264.0411211807627</v>
      </c>
      <c r="C107" s="123">
        <f>+INDEX('Arun River at Turkeghat (604.5)'!$F$55:$F$67,'Regional regression analysis'!C202,)</f>
        <v>2843.0881875132391</v>
      </c>
      <c r="D107" s="123">
        <f>+INDEX('Arun River at Turkeghat (604.5)'!$F$55:$F$67,'Regional regression analysis'!D202,)</f>
        <v>3011.0224291771879</v>
      </c>
      <c r="E107" s="123">
        <f>+INDEX('Arun River at Turkeghat (604.5)'!$F$55:$F$67,'Regional regression analysis'!E202,)</f>
        <v>3728.5968585209721</v>
      </c>
      <c r="F107" s="123">
        <f>+INDEX('Arun River at Turkeghat (604.5)'!$F$55:$F$67,'Regional regression analysis'!F202,)</f>
        <v>4296.925608290333</v>
      </c>
      <c r="G107" s="123">
        <f>+INDEX('Arun River at Turkeghat (604.5)'!$F$55:$F$67,'Regional regression analysis'!G202,)</f>
        <v>4830.8568187083038</v>
      </c>
      <c r="H107" s="123">
        <f>+INDEX('Arun River at Turkeghat (604.5)'!$F$55:$F$67,'Regional regression analysis'!H202,)</f>
        <v>5511.3377307575402</v>
      </c>
      <c r="I107" s="123">
        <f>+INDEX('Arun River at Turkeghat (604.5)'!$F$55:$F$67,'Regional regression analysis'!I202,)</f>
        <v>6017.3405872898466</v>
      </c>
      <c r="J107" s="123">
        <f>+INDEX('Arun River at Turkeghat (604.5)'!$F$55:$F$67,'Regional regression analysis'!J202,)</f>
        <v>6520.9830150438675</v>
      </c>
      <c r="K107" s="123">
        <f>+INDEX('Arun River at Turkeghat (604.5)'!$F$55:$F$67,'Regional regression analysis'!K202,)</f>
        <v>7188.083843681321</v>
      </c>
      <c r="L107" s="123">
        <f>+INDEX('Arun River at Turkeghat (604.5)'!$F$55:$F$67,'Regional regression analysis'!L202,)</f>
        <v>7696.3169096009533</v>
      </c>
      <c r="M107" s="123">
        <f>+INDEX('Arun River at Turkeghat (604.5)'!$F$55:$F$67,'Regional regression analysis'!M202,)</f>
        <v>8896.4682934901903</v>
      </c>
      <c r="N107" s="123">
        <f>+INDEX('Arun River at Turkeghat (604.5)'!$F$55:$F$67,'Regional regression analysis'!N202,)</f>
        <v>9424.3259575007178</v>
      </c>
      <c r="O107" s="111"/>
    </row>
    <row r="108" spans="1:15" x14ac:dyDescent="0.35">
      <c r="A108" s="120" t="s">
        <v>9</v>
      </c>
      <c r="B108" s="124">
        <f>+INDEX('Arun River at Turkeghat (604.5)'!$I$55:$I$67,'Regional regression analysis'!B202,)</f>
        <v>1374.5939705101855</v>
      </c>
      <c r="C108" s="124">
        <f>+INDEX('Arun River at Turkeghat (604.5)'!$I$55:$I$67,'Regional regression analysis'!C202,)</f>
        <v>2798.584155022234</v>
      </c>
      <c r="D108" s="124">
        <f>+INDEX('Arun River at Turkeghat (604.5)'!$I$55:$I$67,'Regional regression analysis'!D202,)</f>
        <v>2964.5585453983908</v>
      </c>
      <c r="E108" s="124">
        <f>+INDEX('Arun River at Turkeghat (604.5)'!$I$55:$I$67,'Regional regression analysis'!E202,)</f>
        <v>3707.1927614848119</v>
      </c>
      <c r="F108" s="124">
        <f>+INDEX('Arun River at Turkeghat (604.5)'!$I$55:$I$67,'Regional regression analysis'!F202,)</f>
        <v>4334.4680606506599</v>
      </c>
      <c r="G108" s="124">
        <f>+INDEX('Arun River at Turkeghat (604.5)'!$I$55:$I$67,'Regional regression analysis'!G202,)</f>
        <v>4955.7672728051257</v>
      </c>
      <c r="H108" s="124">
        <f>+INDEX('Arun River at Turkeghat (604.5)'!$I$55:$I$67,'Regional regression analysis'!H202,)</f>
        <v>5793.0706203962409</v>
      </c>
      <c r="I108" s="124">
        <f>+INDEX('Arun River at Turkeghat (604.5)'!$I$55:$I$67,'Regional regression analysis'!I202,)</f>
        <v>6449.0721459088163</v>
      </c>
      <c r="J108" s="124">
        <f>+INDEX('Arun River at Turkeghat (604.5)'!$I$55:$I$67,'Regional regression analysis'!J202,)</f>
        <v>7130.5653035371224</v>
      </c>
      <c r="K108" s="124">
        <f>+INDEX('Arun River at Turkeghat (604.5)'!$I$55:$I$67,'Regional regression analysis'!K202,)</f>
        <v>8077.4973906914993</v>
      </c>
      <c r="L108" s="124">
        <f>+INDEX('Arun River at Turkeghat (604.5)'!$I$55:$I$67,'Regional regression analysis'!L202,)</f>
        <v>8833.080041107647</v>
      </c>
      <c r="M108" s="124">
        <f>+INDEX('Arun River at Turkeghat (604.5)'!$I$55:$I$67,'Regional regression analysis'!M202,)</f>
        <v>10736.078061451466</v>
      </c>
      <c r="N108" s="124">
        <f>+INDEX('Arun River at Turkeghat (604.5)'!$I$55:$I$67,'Regional regression analysis'!N202,)</f>
        <v>11626.531655402445</v>
      </c>
      <c r="O108" s="111"/>
    </row>
    <row r="109" spans="1:15" x14ac:dyDescent="0.35">
      <c r="A109" s="115" t="s">
        <v>7</v>
      </c>
      <c r="B109" s="123" t="s">
        <v>73</v>
      </c>
      <c r="C109" s="123">
        <f>+INDEX('Arun River at Turkeghat (604.5)'!$K$55:$K$67,'Regional regression analysis'!C202,)</f>
        <v>2825.3623019180159</v>
      </c>
      <c r="D109" s="123">
        <f>+INDEX('Arun River at Turkeghat (604.5)'!$K$55:$K$67,'Regional regression analysis'!D202,)</f>
        <v>2995.3354945597016</v>
      </c>
      <c r="E109" s="123">
        <f>+INDEX('Arun River at Turkeghat (604.5)'!$K$55:$K$67,'Regional regression analysis'!E202,)</f>
        <v>3733.7761157448676</v>
      </c>
      <c r="F109" s="123">
        <f>+INDEX('Arun River at Turkeghat (604.5)'!$K$55:$K$67,'Regional regression analysis'!F202,)</f>
        <v>4335.2251041923164</v>
      </c>
      <c r="G109" s="123">
        <f>+INDEX('Arun River at Turkeghat (604.5)'!$K$55:$K$67,'Regional regression analysis'!G202,)</f>
        <v>4912.1494138284379</v>
      </c>
      <c r="H109" s="123">
        <f>+INDEX('Arun River at Turkeghat (604.5)'!$K$55:$K$67,'Regional regression analysis'!H202,)</f>
        <v>5658.9187550930619</v>
      </c>
      <c r="I109" s="123">
        <f>+INDEX('Arun River at Turkeghat (604.5)'!$K$55:$K$67,'Regional regression analysis'!I202,)</f>
        <v>6218.5172900333837</v>
      </c>
      <c r="J109" s="123">
        <f>+INDEX('Arun River at Turkeghat (604.5)'!$K$55:$K$67,'Regional regression analysis'!J202,)</f>
        <v>6776.0739439194822</v>
      </c>
      <c r="K109" s="123">
        <f>+INDEX('Arun River at Turkeghat (604.5)'!$K$55:$K$67,'Regional regression analysis'!K202,)</f>
        <v>7511.6640772067476</v>
      </c>
      <c r="L109" s="123">
        <f>+INDEX('Arun River at Turkeghat (604.5)'!$K$55:$K$67,'Regional regression analysis'!L202,)</f>
        <v>8067.6056707158459</v>
      </c>
      <c r="M109" s="123">
        <f>+INDEX('Arun River at Turkeghat (604.5)'!$K$55:$K$67,'Regional regression analysis'!M202,)</f>
        <v>9357.851177561377</v>
      </c>
      <c r="N109" s="123">
        <f>+INDEX('Arun River at Turkeghat (604.5)'!$K$55:$K$67,'Regional regression analysis'!N202,)</f>
        <v>9913.4316105652633</v>
      </c>
      <c r="O109" s="111"/>
    </row>
    <row r="110" spans="1:15" x14ac:dyDescent="0.35">
      <c r="A110" s="118"/>
      <c r="B110" s="117"/>
      <c r="C110" s="117"/>
      <c r="E110" s="117"/>
      <c r="F110" s="117"/>
      <c r="G110" s="117"/>
      <c r="H110" s="117"/>
      <c r="I110" s="117"/>
      <c r="J110" s="117"/>
      <c r="K110" s="117"/>
      <c r="L110" s="117"/>
      <c r="M110" s="125"/>
      <c r="N110" s="125"/>
      <c r="O110" s="111"/>
    </row>
    <row r="111" spans="1:15" x14ac:dyDescent="0.35">
      <c r="A111" s="118"/>
      <c r="B111" s="117"/>
      <c r="C111" s="117"/>
      <c r="E111" s="117"/>
      <c r="F111" s="117"/>
      <c r="G111" s="117"/>
      <c r="H111" s="117"/>
      <c r="I111" s="117"/>
      <c r="J111" s="117"/>
      <c r="K111" s="117"/>
      <c r="L111" s="117"/>
      <c r="M111" s="125"/>
      <c r="N111" s="125"/>
      <c r="O111" s="111"/>
    </row>
    <row r="112" spans="1:15" x14ac:dyDescent="0.35">
      <c r="A112" s="118"/>
      <c r="B112" s="117"/>
      <c r="C112" s="117"/>
      <c r="E112" s="117"/>
      <c r="F112" s="117"/>
      <c r="G112" s="117"/>
      <c r="H112" s="117"/>
      <c r="I112" s="117"/>
      <c r="J112" s="117"/>
      <c r="K112" s="117"/>
      <c r="L112" s="117"/>
      <c r="M112" s="125"/>
      <c r="N112" s="125"/>
      <c r="O112" s="111"/>
    </row>
    <row r="113" spans="1:15" x14ac:dyDescent="0.35">
      <c r="A113" s="118"/>
      <c r="B113" s="117"/>
      <c r="C113" s="117"/>
      <c r="E113" s="117"/>
      <c r="F113" s="117"/>
      <c r="G113" s="117"/>
      <c r="H113" s="117"/>
      <c r="I113" s="117"/>
      <c r="J113" s="117"/>
      <c r="K113" s="117"/>
      <c r="L113" s="117"/>
      <c r="M113" s="125"/>
      <c r="N113" s="125"/>
      <c r="O113" s="111"/>
    </row>
    <row r="114" spans="1:15" x14ac:dyDescent="0.35">
      <c r="A114" s="118"/>
      <c r="B114" s="117"/>
      <c r="C114" s="117"/>
      <c r="E114" s="117"/>
      <c r="F114" s="117"/>
      <c r="G114" s="117"/>
      <c r="H114" s="117"/>
      <c r="I114" s="117"/>
      <c r="J114" s="117"/>
      <c r="K114" s="117"/>
      <c r="L114" s="117"/>
      <c r="M114" s="125"/>
      <c r="N114" s="125"/>
      <c r="O114" s="111"/>
    </row>
    <row r="115" spans="1:15" x14ac:dyDescent="0.35">
      <c r="A115" s="118"/>
      <c r="B115" s="117"/>
      <c r="C115" s="117"/>
      <c r="E115" s="117"/>
      <c r="F115" s="117"/>
      <c r="G115" s="117"/>
      <c r="H115" s="117"/>
      <c r="I115" s="117"/>
      <c r="J115" s="117"/>
      <c r="K115" s="117"/>
      <c r="L115" s="117"/>
      <c r="M115" s="125"/>
      <c r="N115" s="125"/>
      <c r="O115" s="111"/>
    </row>
    <row r="116" spans="1:15" x14ac:dyDescent="0.35">
      <c r="A116" s="118"/>
      <c r="B116" s="117"/>
      <c r="C116" s="117"/>
      <c r="E116" s="117"/>
      <c r="F116" s="117"/>
      <c r="G116" s="117"/>
      <c r="H116" s="117"/>
      <c r="I116" s="117"/>
      <c r="J116" s="117"/>
      <c r="K116" s="117"/>
      <c r="L116" s="117"/>
      <c r="M116" s="125"/>
      <c r="N116" s="125"/>
      <c r="O116" s="111"/>
    </row>
    <row r="117" spans="1:15" x14ac:dyDescent="0.35">
      <c r="A117" s="118"/>
      <c r="B117" s="117"/>
      <c r="C117" s="117"/>
      <c r="E117" s="117"/>
      <c r="F117" s="117"/>
      <c r="G117" s="117"/>
      <c r="H117" s="117"/>
      <c r="I117" s="117"/>
      <c r="J117" s="117"/>
      <c r="K117" s="117"/>
      <c r="L117" s="117"/>
      <c r="M117" s="125"/>
      <c r="N117" s="125"/>
      <c r="O117" s="111"/>
    </row>
    <row r="118" spans="1:15" x14ac:dyDescent="0.35">
      <c r="A118" s="118"/>
      <c r="B118" s="117"/>
      <c r="C118" s="117"/>
      <c r="E118" s="117"/>
      <c r="F118" s="117"/>
      <c r="G118" s="117"/>
      <c r="H118" s="117"/>
      <c r="I118" s="117"/>
      <c r="J118" s="117"/>
      <c r="K118" s="117"/>
      <c r="L118" s="117"/>
      <c r="M118" s="125"/>
      <c r="N118" s="125"/>
      <c r="O118" s="111"/>
    </row>
    <row r="119" spans="1:15" x14ac:dyDescent="0.35">
      <c r="A119" s="118"/>
      <c r="B119" s="117"/>
      <c r="C119" s="117"/>
      <c r="E119" s="117"/>
      <c r="F119" s="117"/>
      <c r="G119" s="117"/>
      <c r="H119" s="117"/>
      <c r="I119" s="117"/>
      <c r="J119" s="117"/>
      <c r="K119" s="117"/>
      <c r="L119" s="117"/>
      <c r="M119" s="125"/>
      <c r="N119" s="125"/>
      <c r="O119" s="111"/>
    </row>
    <row r="120" spans="1:15" x14ac:dyDescent="0.35">
      <c r="A120" s="118"/>
      <c r="B120" s="117"/>
      <c r="C120" s="117"/>
      <c r="E120" s="117"/>
      <c r="F120" s="117"/>
      <c r="G120" s="117"/>
      <c r="H120" s="117"/>
      <c r="I120" s="117"/>
      <c r="J120" s="117"/>
      <c r="K120" s="117"/>
      <c r="L120" s="117"/>
      <c r="M120" s="125"/>
      <c r="N120" s="125"/>
      <c r="O120" s="111"/>
    </row>
    <row r="121" spans="1:15" x14ac:dyDescent="0.35">
      <c r="A121" s="118"/>
      <c r="B121" s="117"/>
      <c r="C121" s="117"/>
      <c r="E121" s="117"/>
      <c r="F121" s="117"/>
      <c r="G121" s="117"/>
      <c r="H121" s="117"/>
      <c r="I121" s="117"/>
      <c r="J121" s="117"/>
      <c r="K121" s="117"/>
      <c r="L121" s="117"/>
      <c r="M121" s="125"/>
      <c r="N121" s="125"/>
      <c r="O121" s="111"/>
    </row>
    <row r="122" spans="1:15" x14ac:dyDescent="0.35">
      <c r="A122" s="118"/>
      <c r="B122" s="117"/>
      <c r="C122" s="117"/>
      <c r="E122" s="117"/>
      <c r="F122" s="117"/>
      <c r="G122" s="117"/>
      <c r="H122" s="117"/>
      <c r="I122" s="117"/>
      <c r="J122" s="117"/>
      <c r="K122" s="117"/>
      <c r="L122" s="117"/>
      <c r="M122" s="125"/>
      <c r="N122" s="125"/>
      <c r="O122" s="111"/>
    </row>
    <row r="123" spans="1:15" x14ac:dyDescent="0.35">
      <c r="A123" s="127"/>
      <c r="B123" s="118"/>
      <c r="C123" s="117"/>
      <c r="E123" s="117"/>
      <c r="F123" s="117"/>
      <c r="G123" s="117"/>
      <c r="H123" s="117"/>
      <c r="I123" s="117"/>
      <c r="J123" s="117"/>
      <c r="K123" s="117"/>
      <c r="L123" s="117"/>
      <c r="M123" s="125"/>
      <c r="N123" s="125"/>
      <c r="O123" s="111"/>
    </row>
    <row r="124" spans="1:15" x14ac:dyDescent="0.35">
      <c r="M124" s="125"/>
      <c r="N124" s="125"/>
      <c r="O124" s="111"/>
    </row>
    <row r="125" spans="1:15" x14ac:dyDescent="0.35">
      <c r="M125" s="125"/>
      <c r="N125" s="125"/>
      <c r="O125" s="111"/>
    </row>
    <row r="126" spans="1:15" x14ac:dyDescent="0.35">
      <c r="A126" s="112" t="str">
        <f>'Regional flood frequency analys'!A122</f>
        <v>4)Arun River at Uwa gaon (600.1)</v>
      </c>
      <c r="B126" s="114"/>
      <c r="C126" s="117"/>
      <c r="E126" s="117"/>
      <c r="F126" s="117"/>
      <c r="G126" s="117"/>
      <c r="H126" s="117"/>
      <c r="I126" s="117"/>
      <c r="J126" s="117"/>
      <c r="K126" s="117"/>
      <c r="L126" s="117"/>
      <c r="M126" s="125"/>
      <c r="N126" s="125"/>
      <c r="O126" s="111"/>
    </row>
    <row r="127" spans="1:15" x14ac:dyDescent="0.35">
      <c r="B127" s="118"/>
      <c r="C127" s="118"/>
      <c r="E127" s="118"/>
      <c r="F127" s="118"/>
      <c r="G127" s="118"/>
      <c r="H127" s="118"/>
      <c r="I127" s="118"/>
      <c r="J127" s="118"/>
      <c r="K127" s="118"/>
      <c r="L127" s="118"/>
      <c r="M127" s="125"/>
      <c r="N127" s="125"/>
      <c r="O127" s="111"/>
    </row>
    <row r="128" spans="1:15" x14ac:dyDescent="0.35">
      <c r="A128" s="355" t="s">
        <v>0</v>
      </c>
      <c r="B128" s="353" t="s">
        <v>1</v>
      </c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111"/>
    </row>
    <row r="129" spans="1:15" x14ac:dyDescent="0.35">
      <c r="A129" s="355"/>
      <c r="B129" s="302">
        <v>1</v>
      </c>
      <c r="C129" s="302">
        <v>2</v>
      </c>
      <c r="D129" s="302">
        <v>2.33</v>
      </c>
      <c r="E129" s="302">
        <v>5</v>
      </c>
      <c r="F129" s="302">
        <v>10</v>
      </c>
      <c r="G129" s="302">
        <v>20</v>
      </c>
      <c r="H129" s="302">
        <v>50</v>
      </c>
      <c r="I129" s="302">
        <v>100</v>
      </c>
      <c r="J129" s="302">
        <v>200</v>
      </c>
      <c r="K129" s="302">
        <v>500</v>
      </c>
      <c r="L129" s="302">
        <v>1000</v>
      </c>
      <c r="M129" s="302">
        <v>5000</v>
      </c>
      <c r="N129" s="302">
        <v>10000</v>
      </c>
      <c r="O129" s="111"/>
    </row>
    <row r="130" spans="1:15" x14ac:dyDescent="0.35">
      <c r="A130" s="120" t="s">
        <v>8</v>
      </c>
      <c r="B130" s="124">
        <f>+INDEX('Arun River at Uwa Gaon (600.1)'!$F$47:$F$59,'Regional regression analysis'!B202,)</f>
        <v>858.40324096909444</v>
      </c>
      <c r="C130" s="124">
        <f>+INDEX('Arun River at Uwa Gaon (600.1)'!$F$47:$F$59,'Regional regression analysis'!C202,)</f>
        <v>1352.3130563300926</v>
      </c>
      <c r="D130" s="124">
        <f>+INDEX('Arun River at Uwa Gaon (600.1)'!$F$47:$F$59,'Regional regression analysis'!D202,)</f>
        <v>1396.5360814671876</v>
      </c>
      <c r="E130" s="124">
        <f>+INDEX('Arun River at Uwa Gaon (600.1)'!$F$47:$F$59,'Regional regression analysis'!E202,)</f>
        <v>1574.3583134793946</v>
      </c>
      <c r="F130" s="124">
        <f>+INDEX('Arun River at Uwa Gaon (600.1)'!$F$47:$F$59,'Regional regression analysis'!F202,)</f>
        <v>1704.7088299448419</v>
      </c>
      <c r="G130" s="124">
        <f>+INDEX('Arun River at Uwa Gaon (600.1)'!$F$47:$F$59,'Regional regression analysis'!G202,)</f>
        <v>1820.4192485747451</v>
      </c>
      <c r="H130" s="124">
        <f>+INDEX('Arun River at Uwa Gaon (600.1)'!$F$47:$F$59,'Regional regression analysis'!H202,)</f>
        <v>1960.0285482679385</v>
      </c>
      <c r="I130" s="124">
        <f>+INDEX('Arun River at Uwa Gaon (600.1)'!$F$47:$F$59,'Regional regression analysis'!I202,)</f>
        <v>2058.979777402631</v>
      </c>
      <c r="J130" s="124">
        <f>+INDEX('Arun River at Uwa Gaon (600.1)'!$F$47:$F$59,'Regional regression analysis'!J202,)</f>
        <v>2153.9002002338152</v>
      </c>
      <c r="K130" s="124">
        <f>+INDEX('Arun River at Uwa Gaon (600.1)'!$F$47:$F$59,'Regional regression analysis'!K202,)</f>
        <v>2274.8020077592519</v>
      </c>
      <c r="L130" s="124">
        <f>+INDEX('Arun River at Uwa Gaon (600.1)'!$F$47:$F$59,'Regional regression analysis'!L202,)</f>
        <v>2363.6312901426136</v>
      </c>
      <c r="M130" s="124">
        <f>+INDEX('Arun River at Uwa Gaon (600.1)'!$F$47:$F$59,'Regional regression analysis'!M202,)</f>
        <v>2563.7033916840105</v>
      </c>
      <c r="N130" s="124">
        <f>+INDEX('Arun River at Uwa Gaon (600.1)'!$F$47:$F$59,'Regional regression analysis'!N202,)</f>
        <v>2647.9136411604873</v>
      </c>
      <c r="O130" s="111"/>
    </row>
    <row r="131" spans="1:15" x14ac:dyDescent="0.35">
      <c r="A131" s="115" t="s">
        <v>9</v>
      </c>
      <c r="B131" s="123">
        <f>+INDEX('Arun River at Uwa Gaon (600.1)'!$I$47:$I$59,'Regional regression analysis'!B202,)</f>
        <v>797.65378680706385</v>
      </c>
      <c r="C131" s="123">
        <f>+INDEX('Arun River at Uwa Gaon (600.1)'!$I$47:$I$59,'Regional regression analysis'!C202,)</f>
        <v>1370.9925128635991</v>
      </c>
      <c r="D131" s="123">
        <f>+INDEX('Arun River at Uwa Gaon (600.1)'!$I$47:$I$59,'Regional regression analysis'!D202,)</f>
        <v>1414.683721109458</v>
      </c>
      <c r="E131" s="123">
        <f>+INDEX('Arun River at Uwa Gaon (600.1)'!$I$47:$I$59,'Regional regression analysis'!E202,)</f>
        <v>1578.2140854157904</v>
      </c>
      <c r="F131" s="123">
        <f>+INDEX('Arun River at Uwa Gaon (600.1)'!$I$47:$I$59,'Regional regression analysis'!F202,)</f>
        <v>1686.4433483883608</v>
      </c>
      <c r="G131" s="123">
        <f>+INDEX('Arun River at Uwa Gaon (600.1)'!$I$47:$I$59,'Regional regression analysis'!G202,)</f>
        <v>1774.9282537674003</v>
      </c>
      <c r="H131" s="123">
        <f>+INDEX('Arun River at Uwa Gaon (600.1)'!$I$47:$I$59,'Regional regression analysis'!H202,)</f>
        <v>1872.9554232804892</v>
      </c>
      <c r="I131" s="123">
        <f>+INDEX('Arun River at Uwa Gaon (600.1)'!$I$47:$I$59,'Regional regression analysis'!I202,)</f>
        <v>1937.1025211702602</v>
      </c>
      <c r="J131" s="123">
        <f>+INDEX('Arun River at Uwa Gaon (600.1)'!$I$47:$I$59,'Regional regression analysis'!J202,)</f>
        <v>1994.7951853780989</v>
      </c>
      <c r="K131" s="123">
        <f>+INDEX('Arun River at Uwa Gaon (600.1)'!$I$47:$I$59,'Regional regression analysis'!K202,)</f>
        <v>2063.2279532432244</v>
      </c>
      <c r="L131" s="123">
        <f>+INDEX('Arun River at Uwa Gaon (600.1)'!$I$47:$I$59,'Regional regression analysis'!L202,)</f>
        <v>2110.1564854491958</v>
      </c>
      <c r="M131" s="123">
        <f>+INDEX('Arun River at Uwa Gaon (600.1)'!$I$47:$I$59,'Regional regression analysis'!M202,)</f>
        <v>2206.4382310925798</v>
      </c>
      <c r="N131" s="123">
        <f>+INDEX('Arun River at Uwa Gaon (600.1)'!$I$47:$I$59,'Regional regression analysis'!N202,)</f>
        <v>2243.4002477403246</v>
      </c>
      <c r="O131" s="111"/>
    </row>
    <row r="132" spans="1:15" x14ac:dyDescent="0.35">
      <c r="A132" s="115" t="s">
        <v>7</v>
      </c>
      <c r="B132" s="123" t="s">
        <v>73</v>
      </c>
      <c r="C132" s="123">
        <f>+INDEX('Arun River at Uwa Gaon (600.1)'!$K$47:$K$59,'Regional regression analysis'!C202,)</f>
        <v>1333.6379986843704</v>
      </c>
      <c r="D132" s="123">
        <f>+INDEX('Arun River at Uwa Gaon (600.1)'!$K$47:$K$59,'Regional regression analysis'!D202,)</f>
        <v>1373.2970216638953</v>
      </c>
      <c r="E132" s="123">
        <f>+INDEX('Arun River at Uwa Gaon (600.1)'!$K$47:$K$59,'Regional regression analysis'!E202,)</f>
        <v>1545.5938004055492</v>
      </c>
      <c r="F132" s="123">
        <f>+INDEX('Arun River at Uwa Gaon (600.1)'!$K$47:$K$59,'Regional regression analysis'!F202,)</f>
        <v>1685.92698402782</v>
      </c>
      <c r="G132" s="123">
        <f>+INDEX('Arun River at Uwa Gaon (600.1)'!$K$47:$K$59,'Regional regression analysis'!G202,)</f>
        <v>1820.5379429543755</v>
      </c>
      <c r="H132" s="123">
        <f>+INDEX('Arun River at Uwa Gaon (600.1)'!$K$47:$K$59,'Regional regression analysis'!H202,)</f>
        <v>1994.778021671088</v>
      </c>
      <c r="I132" s="123">
        <f>+INDEX('Arun River at Uwa Gaon (600.1)'!$K$47:$K$59,'Regional regression analysis'!I202,)</f>
        <v>2125.3464413823722</v>
      </c>
      <c r="J132" s="123">
        <f>+INDEX('Arun River at Uwa Gaon (600.1)'!$K$47:$K$59,'Regional regression analysis'!J202,)</f>
        <v>2255.4384388626427</v>
      </c>
      <c r="K132" s="123">
        <f>+INDEX('Arun River at Uwa Gaon (600.1)'!$K$47:$K$59,'Regional regression analysis'!K202,)</f>
        <v>2427.0701270491995</v>
      </c>
      <c r="L132" s="123">
        <f>+INDEX('Arun River at Uwa Gaon (600.1)'!$K$47:$K$59,'Regional regression analysis'!L202,)</f>
        <v>2556.7852903027942</v>
      </c>
      <c r="M132" s="123">
        <f>+INDEX('Arun River at Uwa Gaon (600.1)'!$K$47:$K$59,'Regional regression analysis'!M202,)</f>
        <v>2857.8320342625011</v>
      </c>
      <c r="N132" s="123">
        <f>+INDEX('Arun River at Uwa Gaon (600.1)'!$K$47:$K$59,'Regional regression analysis'!N202,)</f>
        <v>2987.462929682134</v>
      </c>
      <c r="O132" s="111"/>
    </row>
    <row r="133" spans="1:15" x14ac:dyDescent="0.35">
      <c r="A133" s="127"/>
      <c r="B133" s="118"/>
      <c r="C133" s="117"/>
      <c r="E133" s="117"/>
      <c r="F133" s="117"/>
      <c r="G133" s="117"/>
      <c r="H133" s="117"/>
      <c r="I133" s="117"/>
      <c r="J133" s="117"/>
      <c r="K133" s="117"/>
      <c r="L133" s="117"/>
      <c r="M133" s="125"/>
      <c r="N133" s="125"/>
      <c r="O133" s="111"/>
    </row>
    <row r="134" spans="1:15" x14ac:dyDescent="0.35">
      <c r="A134" s="127"/>
      <c r="B134" s="118"/>
      <c r="C134" s="117"/>
      <c r="E134" s="117"/>
      <c r="F134" s="117"/>
      <c r="G134" s="117"/>
      <c r="H134" s="117"/>
      <c r="I134" s="117"/>
      <c r="J134" s="117"/>
      <c r="K134" s="117"/>
      <c r="L134" s="117"/>
      <c r="M134" s="125"/>
      <c r="N134" s="125"/>
      <c r="O134" s="111"/>
    </row>
    <row r="135" spans="1:15" x14ac:dyDescent="0.35">
      <c r="A135" s="127"/>
      <c r="B135" s="118"/>
      <c r="C135" s="117"/>
      <c r="E135" s="117"/>
      <c r="F135" s="117"/>
      <c r="G135" s="117"/>
      <c r="H135" s="117"/>
      <c r="I135" s="117"/>
      <c r="J135" s="117"/>
      <c r="K135" s="117"/>
      <c r="L135" s="117"/>
      <c r="M135" s="125"/>
      <c r="N135" s="125"/>
      <c r="O135" s="111"/>
    </row>
    <row r="136" spans="1:15" x14ac:dyDescent="0.35">
      <c r="A136" s="127"/>
      <c r="B136" s="118"/>
      <c r="C136" s="117"/>
      <c r="E136" s="117"/>
      <c r="F136" s="117"/>
      <c r="G136" s="117"/>
      <c r="H136" s="117"/>
      <c r="I136" s="117"/>
      <c r="J136" s="117"/>
      <c r="K136" s="117"/>
      <c r="L136" s="117"/>
      <c r="M136" s="125"/>
      <c r="N136" s="125"/>
      <c r="O136" s="111"/>
    </row>
    <row r="137" spans="1:15" x14ac:dyDescent="0.35">
      <c r="A137" s="127"/>
      <c r="B137" s="118"/>
      <c r="C137" s="117"/>
      <c r="E137" s="117"/>
      <c r="F137" s="117"/>
      <c r="G137" s="117"/>
      <c r="H137" s="117"/>
      <c r="I137" s="117"/>
      <c r="J137" s="117"/>
      <c r="K137" s="117"/>
      <c r="L137" s="117"/>
      <c r="M137" s="125"/>
      <c r="N137" s="125"/>
      <c r="O137" s="111"/>
    </row>
    <row r="138" spans="1:15" x14ac:dyDescent="0.35">
      <c r="A138" s="127"/>
      <c r="B138" s="118"/>
      <c r="C138" s="117"/>
      <c r="E138" s="117"/>
      <c r="F138" s="117"/>
      <c r="G138" s="117"/>
      <c r="H138" s="117"/>
      <c r="I138" s="117"/>
      <c r="J138" s="117"/>
      <c r="K138" s="117"/>
      <c r="L138" s="117"/>
      <c r="M138" s="125"/>
      <c r="N138" s="125"/>
      <c r="O138" s="111"/>
    </row>
    <row r="139" spans="1:15" x14ac:dyDescent="0.35">
      <c r="A139" s="127"/>
      <c r="B139" s="118"/>
      <c r="C139" s="117"/>
      <c r="E139" s="117"/>
      <c r="F139" s="117"/>
      <c r="G139" s="117"/>
      <c r="H139" s="117"/>
      <c r="I139" s="117"/>
      <c r="J139" s="117"/>
      <c r="K139" s="117"/>
      <c r="L139" s="117"/>
      <c r="M139" s="125"/>
      <c r="N139" s="125"/>
      <c r="O139" s="111"/>
    </row>
    <row r="140" spans="1:15" x14ac:dyDescent="0.35">
      <c r="A140" s="127"/>
      <c r="B140" s="118"/>
      <c r="C140" s="117"/>
      <c r="E140" s="117"/>
      <c r="F140" s="117"/>
      <c r="G140" s="117"/>
      <c r="H140" s="117"/>
      <c r="I140" s="117"/>
      <c r="J140" s="117"/>
      <c r="K140" s="117"/>
      <c r="L140" s="117"/>
      <c r="M140" s="125"/>
      <c r="N140" s="125"/>
      <c r="O140" s="111"/>
    </row>
    <row r="141" spans="1:15" x14ac:dyDescent="0.35">
      <c r="A141" s="127"/>
      <c r="B141" s="118"/>
      <c r="C141" s="117"/>
      <c r="E141" s="117"/>
      <c r="F141" s="117"/>
      <c r="G141" s="117"/>
      <c r="H141" s="117"/>
      <c r="I141" s="117"/>
      <c r="J141" s="117"/>
      <c r="K141" s="117"/>
      <c r="L141" s="117"/>
      <c r="M141" s="125"/>
      <c r="N141" s="125"/>
      <c r="O141" s="111"/>
    </row>
    <row r="142" spans="1:15" x14ac:dyDescent="0.35">
      <c r="A142" s="127"/>
      <c r="B142" s="118"/>
      <c r="C142" s="117"/>
      <c r="E142" s="117"/>
      <c r="F142" s="117"/>
      <c r="G142" s="117"/>
      <c r="H142" s="117"/>
      <c r="I142" s="117"/>
      <c r="J142" s="117"/>
      <c r="K142" s="117"/>
      <c r="L142" s="117"/>
      <c r="M142" s="125"/>
      <c r="N142" s="125"/>
      <c r="O142" s="111"/>
    </row>
    <row r="143" spans="1:15" x14ac:dyDescent="0.35">
      <c r="L143" s="104"/>
      <c r="M143" s="125"/>
      <c r="N143" s="125"/>
      <c r="O143" s="111"/>
    </row>
    <row r="144" spans="1:15" x14ac:dyDescent="0.35">
      <c r="L144" s="104"/>
      <c r="M144" s="125"/>
      <c r="N144" s="125"/>
      <c r="O144" s="111"/>
    </row>
    <row r="145" spans="1:15" x14ac:dyDescent="0.35">
      <c r="L145" s="104"/>
      <c r="M145" s="125"/>
      <c r="N145" s="125"/>
      <c r="O145" s="111"/>
    </row>
    <row r="146" spans="1:15" x14ac:dyDescent="0.35">
      <c r="L146" s="104"/>
      <c r="M146" s="125"/>
      <c r="N146" s="125"/>
      <c r="O146" s="111"/>
    </row>
    <row r="147" spans="1:15" x14ac:dyDescent="0.35">
      <c r="L147" s="104"/>
      <c r="M147" s="125"/>
      <c r="N147" s="125"/>
      <c r="O147" s="111"/>
    </row>
    <row r="148" spans="1:15" hidden="1" x14ac:dyDescent="0.35">
      <c r="A148" s="112" t="s">
        <v>126</v>
      </c>
      <c r="B148" s="114"/>
      <c r="C148" s="117"/>
      <c r="E148" s="117"/>
      <c r="F148" s="117"/>
      <c r="G148" s="117"/>
      <c r="H148" s="117"/>
      <c r="I148" s="117"/>
      <c r="J148" s="117"/>
      <c r="K148" s="117"/>
      <c r="L148" s="117"/>
      <c r="M148" s="125"/>
      <c r="N148" s="125"/>
      <c r="O148" s="111"/>
    </row>
    <row r="149" spans="1:15" hidden="1" x14ac:dyDescent="0.35">
      <c r="B149" s="118"/>
      <c r="C149" s="118"/>
      <c r="E149" s="118"/>
      <c r="F149" s="118"/>
      <c r="G149" s="118"/>
      <c r="H149" s="118"/>
      <c r="I149" s="118"/>
      <c r="J149" s="118"/>
      <c r="K149" s="118"/>
      <c r="L149" s="118"/>
      <c r="M149" s="125"/>
      <c r="N149" s="125"/>
      <c r="O149" s="111"/>
    </row>
    <row r="150" spans="1:15" hidden="1" x14ac:dyDescent="0.35">
      <c r="A150" s="189" t="s">
        <v>0</v>
      </c>
      <c r="B150" s="351" t="s">
        <v>1</v>
      </c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111"/>
    </row>
    <row r="151" spans="1:15" hidden="1" x14ac:dyDescent="0.35">
      <c r="A151" s="190"/>
      <c r="B151" s="192">
        <v>1</v>
      </c>
      <c r="C151" s="192">
        <v>2</v>
      </c>
      <c r="D151" s="192">
        <v>2.33</v>
      </c>
      <c r="E151" s="192">
        <v>5</v>
      </c>
      <c r="F151" s="192">
        <v>10</v>
      </c>
      <c r="G151" s="192">
        <v>20</v>
      </c>
      <c r="H151" s="192">
        <v>50</v>
      </c>
      <c r="I151" s="192">
        <v>100</v>
      </c>
      <c r="J151" s="192">
        <v>200</v>
      </c>
      <c r="K151" s="192">
        <v>500</v>
      </c>
      <c r="L151" s="191">
        <v>1000</v>
      </c>
      <c r="M151" s="192">
        <v>5000</v>
      </c>
      <c r="N151" s="192">
        <v>10000</v>
      </c>
      <c r="O151" s="111"/>
    </row>
    <row r="152" spans="1:15" hidden="1" x14ac:dyDescent="0.35">
      <c r="A152" s="115" t="s">
        <v>8</v>
      </c>
      <c r="B152" s="123" t="e">
        <f>+INDEX(#REF!,'Regional regression analysis'!B202,)</f>
        <v>#REF!</v>
      </c>
      <c r="C152" s="123" t="e">
        <f>+INDEX(#REF!,'Regional regression analysis'!C202,)</f>
        <v>#REF!</v>
      </c>
      <c r="D152" s="123" t="e">
        <f>+INDEX(#REF!,'Regional regression analysis'!D202,)</f>
        <v>#REF!</v>
      </c>
      <c r="E152" s="123" t="e">
        <f>+INDEX(#REF!,'Regional regression analysis'!E202,)</f>
        <v>#REF!</v>
      </c>
      <c r="F152" s="123" t="e">
        <f>+INDEX(#REF!,'Regional regression analysis'!F202,)</f>
        <v>#REF!</v>
      </c>
      <c r="G152" s="123" t="e">
        <f>+INDEX(#REF!,'Regional regression analysis'!G202,)</f>
        <v>#REF!</v>
      </c>
      <c r="H152" s="123" t="e">
        <f>+INDEX(#REF!,'Regional regression analysis'!H202,)</f>
        <v>#REF!</v>
      </c>
      <c r="I152" s="123" t="e">
        <f>+INDEX(#REF!,'Regional regression analysis'!I202,)</f>
        <v>#REF!</v>
      </c>
      <c r="J152" s="123" t="e">
        <f>+INDEX(#REF!,'Regional regression analysis'!J202,)</f>
        <v>#REF!</v>
      </c>
      <c r="K152" s="123" t="e">
        <f>+INDEX(#REF!,'Regional regression analysis'!K202,)</f>
        <v>#REF!</v>
      </c>
      <c r="L152" s="123" t="e">
        <f>+INDEX(#REF!,'Regional regression analysis'!L202,)</f>
        <v>#REF!</v>
      </c>
      <c r="M152" s="123" t="e">
        <f>+INDEX(#REF!,'Regional regression analysis'!M202,)</f>
        <v>#REF!</v>
      </c>
      <c r="N152" s="123" t="e">
        <f>+INDEX(#REF!,'Regional regression analysis'!N202,)</f>
        <v>#REF!</v>
      </c>
      <c r="O152" s="111"/>
    </row>
    <row r="153" spans="1:15" hidden="1" x14ac:dyDescent="0.35">
      <c r="A153" s="120" t="s">
        <v>9</v>
      </c>
      <c r="B153" s="124" t="e">
        <f>+INDEX(#REF!,'Regional regression analysis'!B202,)</f>
        <v>#REF!</v>
      </c>
      <c r="C153" s="124" t="e">
        <f>+INDEX(#REF!,'Regional regression analysis'!C202,)</f>
        <v>#REF!</v>
      </c>
      <c r="D153" s="124" t="e">
        <f>+INDEX(#REF!,'Regional regression analysis'!D202,)</f>
        <v>#REF!</v>
      </c>
      <c r="E153" s="124" t="e">
        <f>+INDEX(#REF!,'Regional regression analysis'!E202,)</f>
        <v>#REF!</v>
      </c>
      <c r="F153" s="124" t="e">
        <f>+INDEX(#REF!,'Regional regression analysis'!F202,)</f>
        <v>#REF!</v>
      </c>
      <c r="G153" s="124" t="e">
        <f>+INDEX(#REF!,'Regional regression analysis'!G202,)</f>
        <v>#REF!</v>
      </c>
      <c r="H153" s="124" t="e">
        <f>+INDEX(#REF!,'Regional regression analysis'!H202,)</f>
        <v>#REF!</v>
      </c>
      <c r="I153" s="124" t="e">
        <f>+INDEX(#REF!,'Regional regression analysis'!I202,)</f>
        <v>#REF!</v>
      </c>
      <c r="J153" s="124" t="e">
        <f>+INDEX(#REF!,'Regional regression analysis'!J202,)</f>
        <v>#REF!</v>
      </c>
      <c r="K153" s="124" t="e">
        <f>+INDEX(#REF!,'Regional regression analysis'!K202,)</f>
        <v>#REF!</v>
      </c>
      <c r="L153" s="124" t="e">
        <f>+INDEX(#REF!,'Regional regression analysis'!L202,)</f>
        <v>#REF!</v>
      </c>
      <c r="M153" s="124" t="e">
        <f>+INDEX(#REF!,'Regional regression analysis'!M202,)</f>
        <v>#REF!</v>
      </c>
      <c r="N153" s="124" t="e">
        <f>+INDEX(#REF!,'Regional regression analysis'!N202,)</f>
        <v>#REF!</v>
      </c>
      <c r="O153" s="111"/>
    </row>
    <row r="154" spans="1:15" hidden="1" x14ac:dyDescent="0.35">
      <c r="A154" s="148" t="s">
        <v>7</v>
      </c>
      <c r="B154" s="123" t="s">
        <v>73</v>
      </c>
      <c r="C154" s="123" t="e">
        <f>+INDEX(#REF!,'Regional regression analysis'!C202,)</f>
        <v>#REF!</v>
      </c>
      <c r="D154" s="123" t="e">
        <f>+INDEX(#REF!,'Regional regression analysis'!D202,)</f>
        <v>#REF!</v>
      </c>
      <c r="E154" s="123" t="e">
        <f>+INDEX(#REF!,'Regional regression analysis'!E202,)</f>
        <v>#REF!</v>
      </c>
      <c r="F154" s="123" t="e">
        <f>+INDEX(#REF!,'Regional regression analysis'!F202,)</f>
        <v>#REF!</v>
      </c>
      <c r="G154" s="123" t="e">
        <f>+INDEX(#REF!,'Regional regression analysis'!G202,)</f>
        <v>#REF!</v>
      </c>
      <c r="H154" s="123" t="e">
        <f>+INDEX(#REF!,'Regional regression analysis'!H202,)</f>
        <v>#REF!</v>
      </c>
      <c r="I154" s="123" t="e">
        <f>+INDEX(#REF!,'Regional regression analysis'!I202,)</f>
        <v>#REF!</v>
      </c>
      <c r="J154" s="123" t="e">
        <f>+INDEX(#REF!,'Regional regression analysis'!J202,)</f>
        <v>#REF!</v>
      </c>
      <c r="K154" s="123" t="e">
        <f>+INDEX(#REF!,'Regional regression analysis'!K202,)</f>
        <v>#REF!</v>
      </c>
      <c r="L154" s="123" t="e">
        <f>+INDEX(#REF!,'Regional regression analysis'!L202,)</f>
        <v>#REF!</v>
      </c>
      <c r="M154" s="123" t="e">
        <f>+INDEX(#REF!,'Regional regression analysis'!M202,)</f>
        <v>#REF!</v>
      </c>
      <c r="N154" s="123" t="e">
        <f>+INDEX(#REF!,'Regional regression analysis'!N202,)</f>
        <v>#REF!</v>
      </c>
      <c r="O154" s="111"/>
    </row>
    <row r="155" spans="1:15" hidden="1" x14ac:dyDescent="0.35">
      <c r="M155" s="125"/>
      <c r="N155" s="125"/>
      <c r="O155" s="111"/>
    </row>
    <row r="156" spans="1:15" hidden="1" x14ac:dyDescent="0.35">
      <c r="L156" s="104"/>
      <c r="M156" s="125"/>
      <c r="N156" s="125"/>
      <c r="O156" s="111"/>
    </row>
    <row r="157" spans="1:15" hidden="1" x14ac:dyDescent="0.35">
      <c r="L157" s="104"/>
      <c r="M157" s="125"/>
      <c r="N157" s="125"/>
      <c r="O157" s="111"/>
    </row>
    <row r="158" spans="1:15" hidden="1" x14ac:dyDescent="0.35">
      <c r="L158" s="104"/>
      <c r="M158" s="125"/>
      <c r="N158" s="125"/>
      <c r="O158" s="111"/>
    </row>
    <row r="159" spans="1:15" hidden="1" x14ac:dyDescent="0.35">
      <c r="L159" s="104"/>
      <c r="M159" s="125"/>
      <c r="N159" s="125"/>
      <c r="O159" s="111"/>
    </row>
    <row r="160" spans="1:15" hidden="1" x14ac:dyDescent="0.35">
      <c r="L160" s="104"/>
      <c r="M160" s="125"/>
      <c r="N160" s="125"/>
      <c r="O160" s="111"/>
    </row>
    <row r="161" spans="1:28" hidden="1" x14ac:dyDescent="0.35">
      <c r="L161" s="104"/>
      <c r="M161" s="125"/>
      <c r="N161" s="125"/>
      <c r="O161" s="111"/>
    </row>
    <row r="162" spans="1:28" hidden="1" x14ac:dyDescent="0.35">
      <c r="L162" s="104"/>
      <c r="M162" s="125"/>
      <c r="N162" s="125"/>
      <c r="O162" s="111"/>
    </row>
    <row r="163" spans="1:28" hidden="1" x14ac:dyDescent="0.35">
      <c r="L163" s="104"/>
      <c r="M163" s="125"/>
      <c r="N163" s="125"/>
      <c r="O163" s="111"/>
    </row>
    <row r="164" spans="1:28" hidden="1" x14ac:dyDescent="0.35">
      <c r="L164" s="104"/>
      <c r="M164" s="125"/>
      <c r="N164" s="125"/>
      <c r="O164" s="111"/>
    </row>
    <row r="165" spans="1:28" hidden="1" x14ac:dyDescent="0.35">
      <c r="L165" s="104"/>
      <c r="M165" s="125"/>
      <c r="N165" s="125"/>
      <c r="O165" s="111"/>
    </row>
    <row r="166" spans="1:28" hidden="1" x14ac:dyDescent="0.35">
      <c r="L166" s="104"/>
      <c r="M166" s="125"/>
      <c r="N166" s="125"/>
      <c r="O166" s="111"/>
    </row>
    <row r="167" spans="1:28" hidden="1" x14ac:dyDescent="0.35">
      <c r="L167" s="104"/>
      <c r="M167" s="125"/>
      <c r="N167" s="125"/>
      <c r="O167" s="111"/>
    </row>
    <row r="168" spans="1:28" hidden="1" x14ac:dyDescent="0.35">
      <c r="L168" s="104"/>
      <c r="M168" s="125"/>
      <c r="N168" s="125"/>
      <c r="O168" s="111"/>
    </row>
    <row r="169" spans="1:28" hidden="1" x14ac:dyDescent="0.35">
      <c r="L169" s="104"/>
      <c r="M169" s="125"/>
      <c r="N169" s="125"/>
      <c r="O169" s="111"/>
    </row>
    <row r="170" spans="1:28" hidden="1" x14ac:dyDescent="0.35">
      <c r="L170" s="104"/>
      <c r="M170" s="125"/>
      <c r="N170" s="125"/>
      <c r="O170" s="111"/>
    </row>
    <row r="171" spans="1:28" hidden="1" x14ac:dyDescent="0.35">
      <c r="A171" s="112" t="s">
        <v>125</v>
      </c>
      <c r="B171" s="114"/>
      <c r="C171" s="117"/>
      <c r="E171" s="117"/>
      <c r="F171" s="117"/>
      <c r="G171" s="117"/>
      <c r="H171" s="117"/>
      <c r="I171" s="117"/>
      <c r="J171" s="117"/>
      <c r="K171" s="117"/>
      <c r="L171" s="117"/>
      <c r="M171" s="125"/>
      <c r="N171" s="125"/>
      <c r="O171" s="111"/>
    </row>
    <row r="172" spans="1:28" hidden="1" x14ac:dyDescent="0.35">
      <c r="B172" s="118"/>
      <c r="C172" s="118"/>
      <c r="E172" s="118"/>
      <c r="F172" s="118"/>
      <c r="G172" s="118"/>
      <c r="H172" s="118"/>
      <c r="I172" s="118"/>
      <c r="J172" s="118"/>
      <c r="K172" s="118"/>
      <c r="L172" s="118"/>
      <c r="M172" s="125"/>
      <c r="N172" s="125"/>
      <c r="O172" s="111"/>
    </row>
    <row r="173" spans="1:28" hidden="1" x14ac:dyDescent="0.35">
      <c r="A173" s="330" t="s">
        <v>0</v>
      </c>
      <c r="B173" s="332" t="s">
        <v>1</v>
      </c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111"/>
    </row>
    <row r="174" spans="1:28" hidden="1" x14ac:dyDescent="0.35">
      <c r="A174" s="331"/>
      <c r="B174" s="192">
        <v>1</v>
      </c>
      <c r="C174" s="192">
        <v>2</v>
      </c>
      <c r="D174" s="192">
        <v>2.33</v>
      </c>
      <c r="E174" s="192">
        <v>5</v>
      </c>
      <c r="F174" s="192">
        <v>10</v>
      </c>
      <c r="G174" s="192">
        <v>20</v>
      </c>
      <c r="H174" s="192">
        <v>50</v>
      </c>
      <c r="I174" s="192">
        <v>100</v>
      </c>
      <c r="J174" s="192">
        <v>200</v>
      </c>
      <c r="K174" s="192">
        <v>500</v>
      </c>
      <c r="L174" s="192">
        <v>1000</v>
      </c>
      <c r="M174" s="192">
        <v>5000</v>
      </c>
      <c r="N174" s="192">
        <v>10000</v>
      </c>
      <c r="O174" s="111"/>
    </row>
    <row r="175" spans="1:28" hidden="1" x14ac:dyDescent="0.35">
      <c r="A175" s="115" t="s">
        <v>8</v>
      </c>
      <c r="B175" s="123" t="e">
        <f>+INDEX(#REF!,'Regional regression analysis'!B202,)</f>
        <v>#REF!</v>
      </c>
      <c r="C175" s="123" t="e">
        <f>+INDEX(#REF!,'Regional regression analysis'!C202,)</f>
        <v>#REF!</v>
      </c>
      <c r="D175" s="123" t="e">
        <f>+INDEX(#REF!,'Regional regression analysis'!D202,)</f>
        <v>#REF!</v>
      </c>
      <c r="E175" s="123" t="e">
        <f>+INDEX(#REF!,'Regional regression analysis'!E202,)</f>
        <v>#REF!</v>
      </c>
      <c r="F175" s="123" t="e">
        <f>+INDEX(#REF!,'Regional regression analysis'!F202,)</f>
        <v>#REF!</v>
      </c>
      <c r="G175" s="123" t="e">
        <f>+INDEX(#REF!,'Regional regression analysis'!G202,)</f>
        <v>#REF!</v>
      </c>
      <c r="H175" s="123" t="e">
        <f>+INDEX(#REF!,'Regional regression analysis'!H202,)</f>
        <v>#REF!</v>
      </c>
      <c r="I175" s="123" t="e">
        <f>+INDEX(#REF!,'Regional regression analysis'!I202,)</f>
        <v>#REF!</v>
      </c>
      <c r="J175" s="123" t="e">
        <f>+INDEX(#REF!,'Regional regression analysis'!J202,)</f>
        <v>#REF!</v>
      </c>
      <c r="K175" s="123" t="e">
        <f>+INDEX(#REF!,'Regional regression analysis'!K202,)</f>
        <v>#REF!</v>
      </c>
      <c r="L175" s="123" t="e">
        <f>+INDEX(#REF!,'Regional regression analysis'!L202,)</f>
        <v>#REF!</v>
      </c>
      <c r="M175" s="123" t="e">
        <f>+INDEX(#REF!,'Regional regression analysis'!M202,)</f>
        <v>#REF!</v>
      </c>
      <c r="N175" s="123" t="e">
        <f>+INDEX(#REF!,'Regional regression analysis'!N202,)</f>
        <v>#REF!</v>
      </c>
      <c r="O175" s="285"/>
      <c r="P175" s="285"/>
      <c r="Q175" s="285"/>
      <c r="R175" s="285"/>
      <c r="S175" s="285"/>
      <c r="T175" s="285"/>
      <c r="U175" s="285"/>
      <c r="V175" s="285"/>
      <c r="W175" s="285"/>
      <c r="X175" s="285"/>
      <c r="Y175" s="285"/>
      <c r="Z175" s="285"/>
      <c r="AA175" s="285"/>
      <c r="AB175" s="285"/>
    </row>
    <row r="176" spans="1:28" hidden="1" x14ac:dyDescent="0.35">
      <c r="A176" s="115" t="s">
        <v>9</v>
      </c>
      <c r="B176" s="123" t="e">
        <f>+INDEX(#REF!,'Regional regression analysis'!B202,)</f>
        <v>#REF!</v>
      </c>
      <c r="C176" s="123" t="e">
        <f>+INDEX(#REF!,'Regional regression analysis'!C202,)</f>
        <v>#REF!</v>
      </c>
      <c r="D176" s="123" t="e">
        <f>+INDEX(#REF!,'Regional regression analysis'!D202,)</f>
        <v>#REF!</v>
      </c>
      <c r="E176" s="123" t="e">
        <f>+INDEX(#REF!,'Regional regression analysis'!E202,)</f>
        <v>#REF!</v>
      </c>
      <c r="F176" s="123" t="e">
        <f>+INDEX(#REF!,'Regional regression analysis'!F202,)</f>
        <v>#REF!</v>
      </c>
      <c r="G176" s="123" t="e">
        <f>+INDEX(#REF!,'Regional regression analysis'!G202,)</f>
        <v>#REF!</v>
      </c>
      <c r="H176" s="123" t="e">
        <f>+INDEX(#REF!,'Regional regression analysis'!H202,)</f>
        <v>#REF!</v>
      </c>
      <c r="I176" s="123" t="e">
        <f>+INDEX(#REF!,'Regional regression analysis'!I202,)</f>
        <v>#REF!</v>
      </c>
      <c r="J176" s="123" t="e">
        <f>+INDEX(#REF!,'Regional regression analysis'!J202,)</f>
        <v>#REF!</v>
      </c>
      <c r="K176" s="123" t="e">
        <f>+INDEX(#REF!,'Regional regression analysis'!K202,)</f>
        <v>#REF!</v>
      </c>
      <c r="L176" s="123" t="e">
        <f>+INDEX(#REF!,'Regional regression analysis'!L202,)</f>
        <v>#REF!</v>
      </c>
      <c r="M176" s="123" t="e">
        <f>+INDEX(#REF!,'Regional regression analysis'!M202,)</f>
        <v>#REF!</v>
      </c>
      <c r="N176" s="123" t="e">
        <f>+INDEX(#REF!,'Regional regression analysis'!N202,)</f>
        <v>#REF!</v>
      </c>
      <c r="O176" s="285"/>
      <c r="P176" s="285"/>
      <c r="Q176" s="285"/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  <c r="AB176" s="285"/>
    </row>
    <row r="177" spans="1:28" hidden="1" x14ac:dyDescent="0.35">
      <c r="A177" s="120" t="s">
        <v>7</v>
      </c>
      <c r="B177" s="124" t="s">
        <v>73</v>
      </c>
      <c r="C177" s="124" t="e">
        <f>+INDEX(#REF!,'Regional regression analysis'!C202,)</f>
        <v>#REF!</v>
      </c>
      <c r="D177" s="124" t="e">
        <f>+INDEX(#REF!,'Regional regression analysis'!D202,)</f>
        <v>#REF!</v>
      </c>
      <c r="E177" s="124" t="e">
        <f>+INDEX(#REF!,'Regional regression analysis'!E202,)</f>
        <v>#REF!</v>
      </c>
      <c r="F177" s="124" t="e">
        <f>+INDEX(#REF!,'Regional regression analysis'!F202,)</f>
        <v>#REF!</v>
      </c>
      <c r="G177" s="124" t="e">
        <f>+INDEX(#REF!,'Regional regression analysis'!G202,)</f>
        <v>#REF!</v>
      </c>
      <c r="H177" s="124" t="e">
        <f>+INDEX(#REF!,'Regional regression analysis'!H202,)</f>
        <v>#REF!</v>
      </c>
      <c r="I177" s="124" t="e">
        <f>+INDEX(#REF!,'Regional regression analysis'!I202,)</f>
        <v>#REF!</v>
      </c>
      <c r="J177" s="124" t="e">
        <f>+INDEX(#REF!,'Regional regression analysis'!J202,)</f>
        <v>#REF!</v>
      </c>
      <c r="K177" s="124" t="e">
        <f>+INDEX(#REF!,'Regional regression analysis'!K202,)</f>
        <v>#REF!</v>
      </c>
      <c r="L177" s="124" t="e">
        <f>+INDEX(#REF!,'Regional regression analysis'!L202,)</f>
        <v>#REF!</v>
      </c>
      <c r="M177" s="124" t="e">
        <f>+INDEX(#REF!,'Regional regression analysis'!M202,)</f>
        <v>#REF!</v>
      </c>
      <c r="N177" s="124" t="e">
        <f>+INDEX(#REF!,'Regional regression analysis'!N202,)</f>
        <v>#REF!</v>
      </c>
      <c r="O177" s="285"/>
      <c r="P177" s="285"/>
      <c r="Q177" s="285"/>
      <c r="R177" s="285"/>
      <c r="S177" s="285"/>
      <c r="T177" s="285"/>
      <c r="U177" s="285"/>
      <c r="V177" s="285"/>
      <c r="W177" s="285"/>
      <c r="X177" s="285"/>
      <c r="Y177" s="285"/>
      <c r="Z177" s="285"/>
      <c r="AA177" s="285"/>
      <c r="AB177" s="285"/>
    </row>
    <row r="178" spans="1:28" hidden="1" x14ac:dyDescent="0.35">
      <c r="L178" s="104"/>
      <c r="M178" s="125"/>
      <c r="N178" s="125"/>
      <c r="O178" s="111"/>
    </row>
    <row r="179" spans="1:28" hidden="1" x14ac:dyDescent="0.35">
      <c r="L179" s="104"/>
      <c r="M179" s="125"/>
      <c r="N179" s="125"/>
      <c r="O179" s="111"/>
    </row>
    <row r="180" spans="1:28" hidden="1" x14ac:dyDescent="0.35">
      <c r="L180" s="104"/>
      <c r="M180" s="125"/>
      <c r="N180" s="125"/>
      <c r="O180" s="111"/>
    </row>
    <row r="181" spans="1:28" hidden="1" x14ac:dyDescent="0.35">
      <c r="L181" s="104"/>
      <c r="M181" s="125"/>
      <c r="N181" s="125"/>
      <c r="O181" s="111"/>
    </row>
    <row r="182" spans="1:28" hidden="1" x14ac:dyDescent="0.35">
      <c r="L182" s="104"/>
      <c r="M182" s="125"/>
      <c r="N182" s="125"/>
      <c r="O182" s="111"/>
    </row>
    <row r="183" spans="1:28" hidden="1" x14ac:dyDescent="0.35">
      <c r="A183" s="127"/>
      <c r="L183" s="104"/>
      <c r="M183" s="125"/>
      <c r="N183" s="125"/>
      <c r="O183" s="111"/>
    </row>
    <row r="184" spans="1:28" hidden="1" x14ac:dyDescent="0.35">
      <c r="A184" s="127"/>
      <c r="B184" s="118"/>
      <c r="C184" s="117"/>
      <c r="E184" s="117"/>
      <c r="F184" s="117"/>
      <c r="G184" s="117"/>
      <c r="H184" s="117"/>
      <c r="I184" s="117"/>
      <c r="J184" s="117"/>
      <c r="K184" s="117"/>
      <c r="L184" s="117"/>
      <c r="M184" s="125"/>
      <c r="N184" s="125"/>
      <c r="O184" s="111"/>
    </row>
    <row r="185" spans="1:28" hidden="1" x14ac:dyDescent="0.35">
      <c r="L185" s="104"/>
      <c r="M185" s="125"/>
      <c r="N185" s="125"/>
      <c r="O185" s="111"/>
    </row>
    <row r="186" spans="1:28" hidden="1" x14ac:dyDescent="0.35">
      <c r="L186" s="104"/>
      <c r="M186" s="125"/>
      <c r="N186" s="125"/>
      <c r="O186" s="111"/>
    </row>
    <row r="187" spans="1:28" hidden="1" x14ac:dyDescent="0.35">
      <c r="L187" s="104"/>
      <c r="M187" s="125"/>
      <c r="N187" s="125"/>
      <c r="O187" s="111"/>
    </row>
    <row r="188" spans="1:28" hidden="1" x14ac:dyDescent="0.35">
      <c r="L188" s="104"/>
      <c r="M188" s="125"/>
      <c r="N188" s="125"/>
      <c r="O188" s="111"/>
    </row>
    <row r="189" spans="1:28" hidden="1" x14ac:dyDescent="0.35">
      <c r="L189" s="104"/>
      <c r="M189" s="125"/>
      <c r="N189" s="125"/>
      <c r="O189" s="111"/>
    </row>
    <row r="190" spans="1:28" hidden="1" x14ac:dyDescent="0.35"/>
    <row r="191" spans="1:28" hidden="1" x14ac:dyDescent="0.35"/>
    <row r="192" spans="1:28" hidden="1" x14ac:dyDescent="0.35"/>
    <row r="193" spans="1:28" hidden="1" x14ac:dyDescent="0.35"/>
    <row r="194" spans="1:28" hidden="1" x14ac:dyDescent="0.35">
      <c r="A194" s="112" t="s">
        <v>124</v>
      </c>
    </row>
    <row r="195" spans="1:28" hidden="1" x14ac:dyDescent="0.35"/>
    <row r="196" spans="1:28" hidden="1" x14ac:dyDescent="0.35">
      <c r="A196" s="330" t="s">
        <v>0</v>
      </c>
      <c r="B196" s="332" t="s">
        <v>1</v>
      </c>
      <c r="C196" s="333"/>
      <c r="D196" s="333"/>
      <c r="E196" s="333"/>
      <c r="F196" s="333"/>
      <c r="G196" s="333"/>
      <c r="H196" s="333"/>
      <c r="I196" s="333"/>
      <c r="J196" s="333"/>
      <c r="K196" s="333"/>
      <c r="L196" s="333"/>
      <c r="M196" s="333"/>
      <c r="N196" s="333"/>
    </row>
    <row r="197" spans="1:28" hidden="1" x14ac:dyDescent="0.35">
      <c r="A197" s="331"/>
      <c r="B197" s="192">
        <v>1</v>
      </c>
      <c r="C197" s="192">
        <v>2</v>
      </c>
      <c r="D197" s="192">
        <v>2.33</v>
      </c>
      <c r="E197" s="192">
        <v>5</v>
      </c>
      <c r="F197" s="192">
        <v>10</v>
      </c>
      <c r="G197" s="192">
        <v>20</v>
      </c>
      <c r="H197" s="192">
        <v>50</v>
      </c>
      <c r="I197" s="192">
        <v>100</v>
      </c>
      <c r="J197" s="192">
        <v>200</v>
      </c>
      <c r="K197" s="192">
        <v>500</v>
      </c>
      <c r="L197" s="192">
        <v>1000</v>
      </c>
      <c r="M197" s="192">
        <v>5000</v>
      </c>
      <c r="N197" s="192">
        <v>10000</v>
      </c>
    </row>
    <row r="198" spans="1:28" hidden="1" x14ac:dyDescent="0.35">
      <c r="A198" s="115" t="s">
        <v>8</v>
      </c>
      <c r="B198" s="123" t="e">
        <f>+INDEX(#REF!,'Regional regression analysis'!B202,)</f>
        <v>#REF!</v>
      </c>
      <c r="C198" s="123" t="e">
        <f>+INDEX(#REF!,'Regional regression analysis'!C202,)</f>
        <v>#REF!</v>
      </c>
      <c r="D198" s="123" t="e">
        <f>+INDEX(#REF!,'Regional regression analysis'!D202,)</f>
        <v>#REF!</v>
      </c>
      <c r="E198" s="123" t="e">
        <f>+INDEX(#REF!,'Regional regression analysis'!E202,)</f>
        <v>#REF!</v>
      </c>
      <c r="F198" s="123" t="e">
        <f>+INDEX(#REF!,'Regional regression analysis'!F202,)</f>
        <v>#REF!</v>
      </c>
      <c r="G198" s="123" t="e">
        <f>+INDEX(#REF!,'Regional regression analysis'!G202,)</f>
        <v>#REF!</v>
      </c>
      <c r="H198" s="123" t="e">
        <f>+INDEX(#REF!,'Regional regression analysis'!H202,)</f>
        <v>#REF!</v>
      </c>
      <c r="I198" s="123" t="e">
        <f>+INDEX(#REF!,'Regional regression analysis'!I202,)</f>
        <v>#REF!</v>
      </c>
      <c r="J198" s="123" t="e">
        <f>+INDEX(#REF!,'Regional regression analysis'!J202,)</f>
        <v>#REF!</v>
      </c>
      <c r="K198" s="123" t="e">
        <f>+INDEX(#REF!,'Regional regression analysis'!K202,)</f>
        <v>#REF!</v>
      </c>
      <c r="L198" s="123" t="e">
        <f>+INDEX(#REF!,'Regional regression analysis'!L202,)</f>
        <v>#REF!</v>
      </c>
      <c r="M198" s="123" t="e">
        <f>+INDEX(#REF!,'Regional regression analysis'!M202,)</f>
        <v>#REF!</v>
      </c>
      <c r="N198" s="123" t="e">
        <f>+INDEX(#REF!,'Regional regression analysis'!N202,)</f>
        <v>#REF!</v>
      </c>
      <c r="O198" s="285"/>
      <c r="P198" s="285"/>
      <c r="Q198" s="285"/>
      <c r="R198" s="285"/>
      <c r="S198" s="285"/>
      <c r="T198" s="285"/>
      <c r="U198" s="285"/>
      <c r="V198" s="285"/>
      <c r="W198" s="285"/>
      <c r="X198" s="285"/>
      <c r="Y198" s="285"/>
      <c r="Z198" s="285"/>
      <c r="AA198" s="285"/>
      <c r="AB198" s="285"/>
    </row>
    <row r="199" spans="1:28" hidden="1" x14ac:dyDescent="0.35">
      <c r="A199" s="115" t="s">
        <v>9</v>
      </c>
      <c r="B199" s="123" t="e">
        <f>+INDEX(#REF!,'Regional regression analysis'!B202,)</f>
        <v>#REF!</v>
      </c>
      <c r="C199" s="123" t="e">
        <f>+INDEX(#REF!,'Regional regression analysis'!C202,)</f>
        <v>#REF!</v>
      </c>
      <c r="D199" s="123" t="e">
        <f>+INDEX(#REF!,'Regional regression analysis'!D202,)</f>
        <v>#REF!</v>
      </c>
      <c r="E199" s="123" t="e">
        <f>+INDEX(#REF!,'Regional regression analysis'!E202,)</f>
        <v>#REF!</v>
      </c>
      <c r="F199" s="123" t="e">
        <f>+INDEX(#REF!,'Regional regression analysis'!F202,)</f>
        <v>#REF!</v>
      </c>
      <c r="G199" s="123" t="e">
        <f>+INDEX(#REF!,'Regional regression analysis'!G202,)</f>
        <v>#REF!</v>
      </c>
      <c r="H199" s="123" t="e">
        <f>+INDEX(#REF!,'Regional regression analysis'!H202,)</f>
        <v>#REF!</v>
      </c>
      <c r="I199" s="123" t="e">
        <f>+INDEX(#REF!,'Regional regression analysis'!I202,)</f>
        <v>#REF!</v>
      </c>
      <c r="J199" s="123" t="e">
        <f>+INDEX(#REF!,'Regional regression analysis'!J202,)</f>
        <v>#REF!</v>
      </c>
      <c r="K199" s="123" t="e">
        <f>+INDEX(#REF!,'Regional regression analysis'!K202,)</f>
        <v>#REF!</v>
      </c>
      <c r="L199" s="123" t="e">
        <f>+INDEX(#REF!,'Regional regression analysis'!L202,)</f>
        <v>#REF!</v>
      </c>
      <c r="M199" s="123" t="e">
        <f>+INDEX(#REF!,'Regional regression analysis'!M202,)</f>
        <v>#REF!</v>
      </c>
      <c r="N199" s="123" t="e">
        <f>+INDEX(#REF!,'Regional regression analysis'!N202,)</f>
        <v>#REF!</v>
      </c>
      <c r="O199" s="285"/>
      <c r="P199" s="285"/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  <c r="AA199" s="285"/>
      <c r="AB199" s="285"/>
    </row>
    <row r="200" spans="1:28" hidden="1" x14ac:dyDescent="0.35">
      <c r="A200" s="120" t="s">
        <v>7</v>
      </c>
      <c r="B200" s="124" t="s">
        <v>73</v>
      </c>
      <c r="C200" s="124" t="e">
        <f>+INDEX(#REF!,'Regional regression analysis'!C202,)</f>
        <v>#REF!</v>
      </c>
      <c r="D200" s="124" t="e">
        <f>+INDEX(#REF!,'Regional regression analysis'!D202,)</f>
        <v>#REF!</v>
      </c>
      <c r="E200" s="124" t="e">
        <f>+INDEX(#REF!,'Regional regression analysis'!E202,)</f>
        <v>#REF!</v>
      </c>
      <c r="F200" s="124" t="e">
        <f>+INDEX(#REF!,'Regional regression analysis'!F202,)</f>
        <v>#REF!</v>
      </c>
      <c r="G200" s="124" t="e">
        <f>+INDEX(#REF!,'Regional regression analysis'!G202,)</f>
        <v>#REF!</v>
      </c>
      <c r="H200" s="124" t="e">
        <f>+INDEX(#REF!,'Regional regression analysis'!H202,)</f>
        <v>#REF!</v>
      </c>
      <c r="I200" s="124" t="e">
        <f>+INDEX(#REF!,'Regional regression analysis'!I202,)</f>
        <v>#REF!</v>
      </c>
      <c r="J200" s="124" t="e">
        <f>+INDEX(#REF!,'Regional regression analysis'!J202,)</f>
        <v>#REF!</v>
      </c>
      <c r="K200" s="124" t="e">
        <f>+INDEX(#REF!,'Regional regression analysis'!K202,)</f>
        <v>#REF!</v>
      </c>
      <c r="L200" s="124" t="e">
        <f>+INDEX(#REF!,'Regional regression analysis'!L202,)</f>
        <v>#REF!</v>
      </c>
      <c r="M200" s="124" t="e">
        <f>+INDEX(#REF!,'Regional regression analysis'!M202,)</f>
        <v>#REF!</v>
      </c>
      <c r="N200" s="124" t="e">
        <f>+INDEX(#REF!,'Regional regression analysis'!N202,)</f>
        <v>#REF!</v>
      </c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85"/>
      <c r="AB200" s="285"/>
    </row>
    <row r="201" spans="1:28" hidden="1" x14ac:dyDescent="0.35"/>
    <row r="202" spans="1:28" hidden="1" x14ac:dyDescent="0.35">
      <c r="B202" s="118">
        <v>1</v>
      </c>
      <c r="C202" s="117">
        <v>2</v>
      </c>
      <c r="D202" s="117">
        <v>3</v>
      </c>
      <c r="E202" s="117">
        <v>4</v>
      </c>
      <c r="F202" s="117">
        <v>5</v>
      </c>
      <c r="G202" s="117">
        <v>6</v>
      </c>
      <c r="H202" s="117">
        <v>7</v>
      </c>
      <c r="I202" s="117">
        <v>8</v>
      </c>
      <c r="J202" s="117">
        <v>9</v>
      </c>
      <c r="K202" s="117">
        <v>10</v>
      </c>
      <c r="L202" s="117">
        <v>11</v>
      </c>
      <c r="M202" s="117">
        <v>12</v>
      </c>
      <c r="N202" s="117">
        <v>13</v>
      </c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</row>
    <row r="203" spans="1:28" hidden="1" x14ac:dyDescent="0.35"/>
    <row r="204" spans="1:28" hidden="1" x14ac:dyDescent="0.35"/>
    <row r="205" spans="1:28" hidden="1" x14ac:dyDescent="0.35"/>
    <row r="206" spans="1:28" hidden="1" x14ac:dyDescent="0.35"/>
    <row r="207" spans="1:28" hidden="1" x14ac:dyDescent="0.35"/>
    <row r="208" spans="1:28" hidden="1" x14ac:dyDescent="0.35"/>
    <row r="209" spans="1:27" hidden="1" x14ac:dyDescent="0.35"/>
    <row r="210" spans="1:27" hidden="1" x14ac:dyDescent="0.35"/>
    <row r="211" spans="1:27" hidden="1" x14ac:dyDescent="0.35">
      <c r="L211" s="104"/>
    </row>
    <row r="212" spans="1:27" hidden="1" x14ac:dyDescent="0.35">
      <c r="Z212" s="285"/>
      <c r="AA212" s="285"/>
    </row>
    <row r="213" spans="1:27" hidden="1" x14ac:dyDescent="0.35">
      <c r="Z213" s="285"/>
      <c r="AA213" s="285"/>
    </row>
    <row r="214" spans="1:27" hidden="1" x14ac:dyDescent="0.35">
      <c r="L214" s="104"/>
      <c r="Z214" s="285"/>
      <c r="AA214" s="285"/>
    </row>
    <row r="215" spans="1:27" hidden="1" x14ac:dyDescent="0.35">
      <c r="L215" s="104"/>
      <c r="Z215" s="285"/>
      <c r="AA215" s="285"/>
    </row>
    <row r="216" spans="1:27" hidden="1" x14ac:dyDescent="0.35">
      <c r="L216" s="104"/>
      <c r="Z216" s="285"/>
      <c r="AA216" s="285"/>
    </row>
    <row r="217" spans="1:27" hidden="1" x14ac:dyDescent="0.35">
      <c r="L217" s="104"/>
      <c r="Z217" s="285"/>
      <c r="AA217" s="285"/>
    </row>
    <row r="218" spans="1:27" hidden="1" x14ac:dyDescent="0.35">
      <c r="L218" s="104"/>
      <c r="Z218" s="285"/>
      <c r="AA218" s="285"/>
    </row>
    <row r="219" spans="1:27" hidden="1" x14ac:dyDescent="0.35">
      <c r="L219" s="104"/>
      <c r="Z219" s="285"/>
      <c r="AA219" s="285"/>
    </row>
    <row r="220" spans="1:27" hidden="1" x14ac:dyDescent="0.35">
      <c r="L220" s="104"/>
      <c r="Z220" s="285"/>
      <c r="AA220" s="285"/>
    </row>
    <row r="221" spans="1:27" hidden="1" x14ac:dyDescent="0.35">
      <c r="A221" s="112" t="s">
        <v>234</v>
      </c>
      <c r="Z221" s="285"/>
      <c r="AA221" s="285"/>
    </row>
    <row r="222" spans="1:27" hidden="1" x14ac:dyDescent="0.35">
      <c r="Z222" s="285"/>
      <c r="AA222" s="285"/>
    </row>
    <row r="223" spans="1:27" hidden="1" x14ac:dyDescent="0.35">
      <c r="A223" s="330" t="s">
        <v>0</v>
      </c>
      <c r="B223" s="332" t="s">
        <v>1</v>
      </c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Z223" s="285"/>
      <c r="AA223" s="285"/>
    </row>
    <row r="224" spans="1:27" hidden="1" x14ac:dyDescent="0.35">
      <c r="A224" s="331"/>
      <c r="B224" s="286">
        <v>1</v>
      </c>
      <c r="C224" s="286">
        <v>2</v>
      </c>
      <c r="D224" s="286">
        <v>2.33</v>
      </c>
      <c r="E224" s="286">
        <v>5</v>
      </c>
      <c r="F224" s="286">
        <v>10</v>
      </c>
      <c r="G224" s="286">
        <v>20</v>
      </c>
      <c r="H224" s="286">
        <v>50</v>
      </c>
      <c r="I224" s="286">
        <v>100</v>
      </c>
      <c r="J224" s="286">
        <v>200</v>
      </c>
      <c r="K224" s="286">
        <v>500</v>
      </c>
      <c r="L224" s="286">
        <v>1000</v>
      </c>
      <c r="M224" s="286">
        <v>5000</v>
      </c>
      <c r="N224" s="286">
        <v>10000</v>
      </c>
      <c r="Z224" s="285"/>
      <c r="AA224" s="285"/>
    </row>
    <row r="225" spans="1:27" hidden="1" x14ac:dyDescent="0.35">
      <c r="A225" s="115" t="s">
        <v>8</v>
      </c>
      <c r="B225" s="123" t="e">
        <f>+INDEX(#REF!,'Regional regression analysis'!B$229,)</f>
        <v>#REF!</v>
      </c>
      <c r="C225" s="123" t="e">
        <f>+INDEX(#REF!,'Regional regression analysis'!C$229,)</f>
        <v>#REF!</v>
      </c>
      <c r="D225" s="123" t="e">
        <f>+INDEX(#REF!,'Regional regression analysis'!D$229,)</f>
        <v>#REF!</v>
      </c>
      <c r="E225" s="123" t="e">
        <f>+INDEX(#REF!,'Regional regression analysis'!E$229,)</f>
        <v>#REF!</v>
      </c>
      <c r="F225" s="123" t="e">
        <f>+INDEX(#REF!,'Regional regression analysis'!F$229,)</f>
        <v>#REF!</v>
      </c>
      <c r="G225" s="123" t="e">
        <f>+INDEX(#REF!,'Regional regression analysis'!G$229,)</f>
        <v>#REF!</v>
      </c>
      <c r="H225" s="123" t="e">
        <f>+INDEX(#REF!,'Regional regression analysis'!H$229,)</f>
        <v>#REF!</v>
      </c>
      <c r="I225" s="123" t="e">
        <f>+INDEX(#REF!,'Regional regression analysis'!I$229,)</f>
        <v>#REF!</v>
      </c>
      <c r="J225" s="123" t="e">
        <f>+INDEX(#REF!,'Regional regression analysis'!J$229,)</f>
        <v>#REF!</v>
      </c>
      <c r="K225" s="123" t="e">
        <f>+INDEX(#REF!,'Regional regression analysis'!K$229,)</f>
        <v>#REF!</v>
      </c>
      <c r="L225" s="123" t="e">
        <f>+INDEX(#REF!,'Regional regression analysis'!L$229,)</f>
        <v>#REF!</v>
      </c>
      <c r="M225" s="123" t="e">
        <f>+INDEX(#REF!,'Regional regression analysis'!M$229,)</f>
        <v>#REF!</v>
      </c>
      <c r="N225" s="123" t="e">
        <f>+INDEX(#REF!,'Regional regression analysis'!N$229,)</f>
        <v>#REF!</v>
      </c>
      <c r="Z225" s="285"/>
      <c r="AA225" s="285"/>
    </row>
    <row r="226" spans="1:27" hidden="1" x14ac:dyDescent="0.35">
      <c r="A226" s="115" t="s">
        <v>9</v>
      </c>
      <c r="B226" s="123" t="e">
        <f>+INDEX(#REF!,'Regional regression analysis'!B$229,)</f>
        <v>#REF!</v>
      </c>
      <c r="C226" s="123" t="e">
        <f>+INDEX(#REF!,'Regional regression analysis'!C$229,)</f>
        <v>#REF!</v>
      </c>
      <c r="D226" s="123" t="e">
        <f>+INDEX(#REF!,'Regional regression analysis'!D$229,)</f>
        <v>#REF!</v>
      </c>
      <c r="E226" s="123" t="e">
        <f>+INDEX(#REF!,'Regional regression analysis'!E$229,)</f>
        <v>#REF!</v>
      </c>
      <c r="F226" s="123" t="e">
        <f>+INDEX(#REF!,'Regional regression analysis'!F$229,)</f>
        <v>#REF!</v>
      </c>
      <c r="G226" s="123" t="e">
        <f>+INDEX(#REF!,'Regional regression analysis'!G$229,)</f>
        <v>#REF!</v>
      </c>
      <c r="H226" s="123" t="e">
        <f>+INDEX(#REF!,'Regional regression analysis'!H$229,)</f>
        <v>#REF!</v>
      </c>
      <c r="I226" s="123" t="e">
        <f>+INDEX(#REF!,'Regional regression analysis'!I$229,)</f>
        <v>#REF!</v>
      </c>
      <c r="J226" s="123" t="e">
        <f>+INDEX(#REF!,'Regional regression analysis'!J$229,)</f>
        <v>#REF!</v>
      </c>
      <c r="K226" s="123" t="e">
        <f>+INDEX(#REF!,'Regional regression analysis'!K$229,)</f>
        <v>#REF!</v>
      </c>
      <c r="L226" s="123" t="e">
        <f>+INDEX(#REF!,'Regional regression analysis'!L$229,)</f>
        <v>#REF!</v>
      </c>
      <c r="M226" s="123" t="e">
        <f>+INDEX(#REF!,'Regional regression analysis'!M$229,)</f>
        <v>#REF!</v>
      </c>
      <c r="N226" s="123" t="e">
        <f>+INDEX(#REF!,'Regional regression analysis'!N$229,)</f>
        <v>#REF!</v>
      </c>
      <c r="Z226" s="285"/>
      <c r="AA226" s="285"/>
    </row>
    <row r="227" spans="1:27" hidden="1" x14ac:dyDescent="0.35">
      <c r="A227" s="120" t="s">
        <v>7</v>
      </c>
      <c r="B227" s="124" t="s">
        <v>73</v>
      </c>
      <c r="C227" s="124" t="e">
        <f>+INDEX(#REF!,'Regional regression analysis'!C$229,)</f>
        <v>#REF!</v>
      </c>
      <c r="D227" s="124" t="e">
        <f>+INDEX(#REF!,'Regional regression analysis'!D$229,)</f>
        <v>#REF!</v>
      </c>
      <c r="E227" s="124" t="e">
        <f>+INDEX(#REF!,'Regional regression analysis'!E$229,)</f>
        <v>#REF!</v>
      </c>
      <c r="F227" s="124" t="e">
        <f>+INDEX(#REF!,'Regional regression analysis'!F$229,)</f>
        <v>#REF!</v>
      </c>
      <c r="G227" s="124" t="e">
        <f>+INDEX(#REF!,'Regional regression analysis'!G$229,)</f>
        <v>#REF!</v>
      </c>
      <c r="H227" s="124" t="e">
        <f>+INDEX(#REF!,'Regional regression analysis'!H$229,)</f>
        <v>#REF!</v>
      </c>
      <c r="I227" s="124" t="e">
        <f>+INDEX(#REF!,'Regional regression analysis'!I$229,)</f>
        <v>#REF!</v>
      </c>
      <c r="J227" s="124" t="e">
        <f>+INDEX(#REF!,'Regional regression analysis'!J$229,)</f>
        <v>#REF!</v>
      </c>
      <c r="K227" s="124" t="e">
        <f>+INDEX(#REF!,'Regional regression analysis'!K$229,)</f>
        <v>#REF!</v>
      </c>
      <c r="L227" s="124" t="e">
        <f>+INDEX(#REF!,'Regional regression analysis'!L$229,)</f>
        <v>#REF!</v>
      </c>
      <c r="M227" s="124" t="e">
        <f>+INDEX(#REF!,'Regional regression analysis'!M$229,)</f>
        <v>#REF!</v>
      </c>
      <c r="N227" s="124" t="e">
        <f>+INDEX(#REF!,'Regional regression analysis'!N$229,)</f>
        <v>#REF!</v>
      </c>
      <c r="Z227" s="285"/>
      <c r="AA227" s="285"/>
    </row>
    <row r="228" spans="1:27" hidden="1" x14ac:dyDescent="0.35">
      <c r="Z228" s="285"/>
      <c r="AA228" s="285"/>
    </row>
    <row r="229" spans="1:27" hidden="1" x14ac:dyDescent="0.35">
      <c r="B229" s="118">
        <v>1</v>
      </c>
      <c r="C229" s="117">
        <v>2</v>
      </c>
      <c r="D229" s="117">
        <v>3</v>
      </c>
      <c r="E229" s="117">
        <v>4</v>
      </c>
      <c r="F229" s="117">
        <v>5</v>
      </c>
      <c r="G229" s="117">
        <v>6</v>
      </c>
      <c r="H229" s="117">
        <v>7</v>
      </c>
      <c r="I229" s="117">
        <v>8</v>
      </c>
      <c r="J229" s="117">
        <v>9</v>
      </c>
      <c r="K229" s="117">
        <v>10</v>
      </c>
      <c r="L229" s="117">
        <v>11</v>
      </c>
      <c r="M229" s="117">
        <v>12</v>
      </c>
      <c r="N229" s="117">
        <v>13</v>
      </c>
      <c r="Z229" s="285"/>
      <c r="AA229" s="285"/>
    </row>
    <row r="230" spans="1:27" hidden="1" x14ac:dyDescent="0.35">
      <c r="Z230" s="285"/>
      <c r="AA230" s="285"/>
    </row>
    <row r="231" spans="1:27" hidden="1" x14ac:dyDescent="0.35">
      <c r="Z231" s="285"/>
      <c r="AA231" s="285"/>
    </row>
    <row r="232" spans="1:27" hidden="1" x14ac:dyDescent="0.35">
      <c r="Z232" s="285"/>
      <c r="AA232" s="285"/>
    </row>
    <row r="233" spans="1:27" hidden="1" x14ac:dyDescent="0.35">
      <c r="Z233" s="285"/>
      <c r="AA233" s="285"/>
    </row>
    <row r="234" spans="1:27" hidden="1" x14ac:dyDescent="0.35">
      <c r="Z234" s="285"/>
      <c r="AA234" s="285"/>
    </row>
    <row r="235" spans="1:27" hidden="1" x14ac:dyDescent="0.35">
      <c r="Z235" s="285"/>
      <c r="AA235" s="285"/>
    </row>
    <row r="236" spans="1:27" hidden="1" x14ac:dyDescent="0.35">
      <c r="Z236" s="285"/>
      <c r="AA236" s="285"/>
    </row>
    <row r="237" spans="1:27" hidden="1" x14ac:dyDescent="0.35">
      <c r="Z237" s="285"/>
      <c r="AA237" s="285"/>
    </row>
    <row r="238" spans="1:27" hidden="1" x14ac:dyDescent="0.35">
      <c r="L238" s="104"/>
      <c r="Z238" s="285"/>
      <c r="AA238" s="285"/>
    </row>
    <row r="239" spans="1:27" hidden="1" x14ac:dyDescent="0.35">
      <c r="Z239" s="285"/>
      <c r="AA239" s="285"/>
    </row>
    <row r="240" spans="1:27" hidden="1" x14ac:dyDescent="0.35">
      <c r="Z240" s="285"/>
      <c r="AA240" s="285"/>
    </row>
    <row r="241" spans="1:27" hidden="1" x14ac:dyDescent="0.35">
      <c r="L241" s="104"/>
      <c r="Z241" s="285"/>
      <c r="AA241" s="285"/>
    </row>
    <row r="242" spans="1:27" hidden="1" x14ac:dyDescent="0.35">
      <c r="L242" s="104"/>
      <c r="Z242" s="285"/>
      <c r="AA242" s="285"/>
    </row>
    <row r="243" spans="1:27" hidden="1" x14ac:dyDescent="0.35">
      <c r="L243" s="104"/>
      <c r="Z243" s="285"/>
      <c r="AA243" s="285"/>
    </row>
    <row r="244" spans="1:27" hidden="1" x14ac:dyDescent="0.35">
      <c r="L244" s="104"/>
      <c r="Z244" s="285"/>
      <c r="AA244" s="285"/>
    </row>
    <row r="245" spans="1:27" hidden="1" x14ac:dyDescent="0.35">
      <c r="L245" s="104"/>
      <c r="Z245" s="285"/>
      <c r="AA245" s="285"/>
    </row>
    <row r="246" spans="1:27" hidden="1" x14ac:dyDescent="0.35">
      <c r="L246" s="104"/>
      <c r="Z246" s="285"/>
      <c r="AA246" s="285"/>
    </row>
    <row r="247" spans="1:27" hidden="1" x14ac:dyDescent="0.35">
      <c r="L247" s="104"/>
      <c r="Z247" s="285"/>
      <c r="AA247" s="285"/>
    </row>
    <row r="248" spans="1:27" x14ac:dyDescent="0.35">
      <c r="L248" s="104"/>
      <c r="Z248" s="285"/>
      <c r="AA248" s="285"/>
    </row>
    <row r="249" spans="1:27" x14ac:dyDescent="0.35">
      <c r="L249" s="104"/>
    </row>
    <row r="250" spans="1:27" x14ac:dyDescent="0.35">
      <c r="A250" s="87" t="s">
        <v>266</v>
      </c>
      <c r="B250" s="126"/>
      <c r="C250" s="168"/>
      <c r="D250" s="168"/>
      <c r="E250" s="117"/>
      <c r="F250" s="117"/>
      <c r="G250" s="117"/>
      <c r="H250" s="117"/>
      <c r="I250" s="117"/>
      <c r="J250" s="117"/>
      <c r="K250" s="117"/>
      <c r="L250" s="117"/>
    </row>
    <row r="251" spans="1:27" ht="51.75" x14ac:dyDescent="0.35">
      <c r="A251" s="128" t="s">
        <v>92</v>
      </c>
      <c r="B251" s="129" t="s">
        <v>220</v>
      </c>
      <c r="C251" s="130" t="s">
        <v>93</v>
      </c>
      <c r="D251" s="130" t="s">
        <v>95</v>
      </c>
      <c r="E251" s="130" t="s">
        <v>96</v>
      </c>
      <c r="F251" s="130" t="s">
        <v>97</v>
      </c>
      <c r="G251" s="130" t="s">
        <v>94</v>
      </c>
      <c r="H251" s="130" t="s">
        <v>98</v>
      </c>
      <c r="I251" s="117"/>
      <c r="J251" s="117"/>
      <c r="K251" s="117"/>
      <c r="L251" s="117"/>
    </row>
    <row r="252" spans="1:27" x14ac:dyDescent="0.35">
      <c r="A252" s="131">
        <v>1</v>
      </c>
      <c r="B252" s="132" t="str">
        <f>'Station Details'!B2</f>
        <v>Isuwa at Intake</v>
      </c>
      <c r="C252" s="133" t="str">
        <f>'Station Details'!C2</f>
        <v>-</v>
      </c>
      <c r="D252" s="133">
        <f>'Station Details'!D2</f>
        <v>160.79</v>
      </c>
      <c r="E252" s="320">
        <f>'Station Details'!E2</f>
        <v>0.10019279805958081</v>
      </c>
      <c r="F252" s="320">
        <f>'Station Details'!F2</f>
        <v>0.6167672118912868</v>
      </c>
      <c r="G252" s="320">
        <f>'Station Details'!G2</f>
        <v>0.28303999004913238</v>
      </c>
      <c r="H252" s="133">
        <f>'Station Details'!H2</f>
        <v>115.28</v>
      </c>
      <c r="I252" s="117"/>
      <c r="L252" s="104"/>
    </row>
    <row r="253" spans="1:27" x14ac:dyDescent="0.35">
      <c r="A253" s="131">
        <v>2</v>
      </c>
      <c r="B253" s="132" t="str">
        <f>'Station Details'!B3</f>
        <v>Powerhouse river-1</v>
      </c>
      <c r="C253" s="133" t="str">
        <f>'Station Details'!C3</f>
        <v>-</v>
      </c>
      <c r="D253" s="321">
        <f>'Station Details'!D3</f>
        <v>27542.558891000001</v>
      </c>
      <c r="E253" s="320">
        <f>'Station Details'!E3</f>
        <v>2.5452972716673638E-2</v>
      </c>
      <c r="F253" s="320">
        <f>'Station Details'!F3</f>
        <v>0.58452339391241936</v>
      </c>
      <c r="G253" s="320">
        <f>'Station Details'!G3</f>
        <v>0.39003093512528636</v>
      </c>
      <c r="H253" s="133">
        <f>'Station Details'!H3</f>
        <v>16800.310000000001</v>
      </c>
      <c r="I253" s="117"/>
      <c r="J253" s="105"/>
      <c r="L253" s="105"/>
    </row>
    <row r="254" spans="1:27" x14ac:dyDescent="0.35">
      <c r="A254" s="131">
        <v>3</v>
      </c>
      <c r="B254" s="132" t="str">
        <f>'Station Details'!B4</f>
        <v>Uwa Gaon</v>
      </c>
      <c r="C254" s="133">
        <f>'Station Details'!C4</f>
        <v>600.1</v>
      </c>
      <c r="D254" s="321">
        <f>'Station Details'!D4</f>
        <v>27090.762891999999</v>
      </c>
      <c r="E254" s="320">
        <f>'Station Details'!E4</f>
        <v>1.6184483314402191E-2</v>
      </c>
      <c r="F254" s="320">
        <f>'Station Details'!F4</f>
        <v>0.58904764194412484</v>
      </c>
      <c r="G254" s="320">
        <f>'Station Details'!G4</f>
        <v>0.39476776798921903</v>
      </c>
      <c r="H254" s="133">
        <f>'Station Details'!H4</f>
        <v>16396.2</v>
      </c>
      <c r="J254" s="146"/>
      <c r="L254" s="105"/>
    </row>
    <row r="255" spans="1:27" x14ac:dyDescent="0.35">
      <c r="A255" s="131">
        <v>4</v>
      </c>
      <c r="B255" s="132" t="str">
        <f>'Station Details'!B5</f>
        <v>Sabhaya</v>
      </c>
      <c r="C255" s="133">
        <f>'Station Details'!C5</f>
        <v>602</v>
      </c>
      <c r="D255" s="133">
        <f>'Station Details'!D5</f>
        <v>391.36</v>
      </c>
      <c r="E255" s="320">
        <f>'Station Details'!E5</f>
        <v>0.92280764513491409</v>
      </c>
      <c r="F255" s="320">
        <f>'Station Details'!F5</f>
        <v>7.7166802943581358E-2</v>
      </c>
      <c r="G255" s="320">
        <f>'Station Details'!G5</f>
        <v>0</v>
      </c>
      <c r="H255" s="133">
        <f>'Station Details'!H5</f>
        <v>391.36</v>
      </c>
      <c r="J255" s="105"/>
      <c r="L255" s="105"/>
    </row>
    <row r="256" spans="1:27" x14ac:dyDescent="0.35">
      <c r="A256" s="131">
        <v>5</v>
      </c>
      <c r="B256" s="132" t="str">
        <f>'Station Details'!B6</f>
        <v>Hinwa</v>
      </c>
      <c r="C256" s="133">
        <f>'Station Details'!C6</f>
        <v>602.5</v>
      </c>
      <c r="D256" s="133">
        <f>'Station Details'!D6</f>
        <v>148.13999999999999</v>
      </c>
      <c r="E256" s="320">
        <f>'Station Details'!E6</f>
        <v>0.96030781692993117</v>
      </c>
      <c r="F256" s="320">
        <f>'Station Details'!F6</f>
        <v>3.9692183070068859E-2</v>
      </c>
      <c r="G256" s="320">
        <f>'Station Details'!G6</f>
        <v>0</v>
      </c>
      <c r="H256" s="133">
        <f>'Station Details'!H6</f>
        <v>148.13999999999999</v>
      </c>
      <c r="J256" s="105"/>
      <c r="L256" s="105"/>
    </row>
    <row r="257" spans="1:27" x14ac:dyDescent="0.35">
      <c r="A257" s="131">
        <v>6</v>
      </c>
      <c r="B257" s="132" t="str">
        <f>'Station Details'!B7</f>
        <v>Turkeghat</v>
      </c>
      <c r="C257" s="133">
        <f>'Station Details'!C7</f>
        <v>604.5</v>
      </c>
      <c r="D257" s="321">
        <f>'Station Details'!D7</f>
        <v>28601.893849</v>
      </c>
      <c r="E257" s="320">
        <f>'Station Details'!E7</f>
        <v>5.1300798742433651E-2</v>
      </c>
      <c r="F257" s="320">
        <f>'Station Details'!F7</f>
        <v>0.57277326062703271</v>
      </c>
      <c r="G257" s="320">
        <f>'Station Details'!G7</f>
        <v>0.37592615568622312</v>
      </c>
      <c r="H257" s="133">
        <f>'Station Details'!H7</f>
        <v>17849.7</v>
      </c>
      <c r="J257" s="105"/>
      <c r="L257" s="105"/>
    </row>
    <row r="258" spans="1:27" x14ac:dyDescent="0.35">
      <c r="A258" s="150"/>
      <c r="B258" s="317"/>
      <c r="C258" s="318"/>
      <c r="D258" s="318"/>
      <c r="E258" s="319"/>
      <c r="F258" s="319"/>
      <c r="G258" s="319"/>
      <c r="H258" s="318"/>
      <c r="J258" s="105"/>
      <c r="L258" s="105"/>
    </row>
    <row r="259" spans="1:27" x14ac:dyDescent="0.35">
      <c r="A259" s="150"/>
      <c r="B259" s="317"/>
      <c r="C259" s="318"/>
      <c r="D259" s="318"/>
      <c r="E259" s="319"/>
      <c r="F259" s="319"/>
      <c r="G259" s="319"/>
      <c r="H259" s="318"/>
      <c r="J259" s="105"/>
      <c r="L259" s="105"/>
    </row>
    <row r="260" spans="1:27" x14ac:dyDescent="0.35">
      <c r="O260" s="105"/>
      <c r="P260" s="136"/>
      <c r="AA260" s="137"/>
    </row>
    <row r="261" spans="1:27" x14ac:dyDescent="0.35">
      <c r="A261" s="167" t="s">
        <v>265</v>
      </c>
      <c r="B261" s="87"/>
      <c r="C261" s="87"/>
      <c r="D261" s="87"/>
      <c r="E261" s="87"/>
      <c r="F261" s="87"/>
      <c r="O261" s="105"/>
      <c r="P261" s="136"/>
      <c r="AA261" s="137"/>
    </row>
    <row r="262" spans="1:27" x14ac:dyDescent="0.35">
      <c r="A262" s="139"/>
      <c r="B262" s="139"/>
      <c r="C262" s="139"/>
      <c r="D262" s="139"/>
      <c r="E262" s="140"/>
      <c r="F262" s="140"/>
      <c r="G262" s="140"/>
      <c r="H262" s="140"/>
      <c r="I262" s="140"/>
      <c r="J262" s="140"/>
      <c r="K262" s="140"/>
      <c r="L262" s="141"/>
      <c r="M262" s="141"/>
      <c r="N262" s="141"/>
      <c r="O262" s="141"/>
      <c r="P262" s="136"/>
      <c r="AA262" s="137"/>
    </row>
    <row r="263" spans="1:27" ht="18.75" x14ac:dyDescent="0.35">
      <c r="A263" s="133" t="s">
        <v>59</v>
      </c>
      <c r="B263" s="342" t="s">
        <v>100</v>
      </c>
      <c r="C263" s="343"/>
      <c r="D263" s="344"/>
      <c r="E263" s="328" t="s">
        <v>2</v>
      </c>
      <c r="F263" s="328" t="s">
        <v>99</v>
      </c>
      <c r="G263" s="328" t="s">
        <v>36</v>
      </c>
      <c r="H263" s="328" t="s">
        <v>3</v>
      </c>
      <c r="I263" s="328" t="s">
        <v>37</v>
      </c>
      <c r="J263" s="328" t="s">
        <v>38</v>
      </c>
      <c r="K263" s="328" t="s">
        <v>4</v>
      </c>
      <c r="L263" s="328" t="s">
        <v>39</v>
      </c>
      <c r="M263" s="328" t="s">
        <v>5</v>
      </c>
      <c r="N263" s="328" t="s">
        <v>6</v>
      </c>
      <c r="O263" s="328" t="s">
        <v>227</v>
      </c>
      <c r="P263" s="328" t="s">
        <v>228</v>
      </c>
      <c r="AA263" s="137"/>
    </row>
    <row r="264" spans="1:27" x14ac:dyDescent="0.35">
      <c r="A264" s="133"/>
      <c r="B264" s="133" t="s">
        <v>60</v>
      </c>
      <c r="C264" s="135" t="s">
        <v>62</v>
      </c>
      <c r="D264" s="135" t="s">
        <v>61</v>
      </c>
      <c r="E264" s="341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AA264" s="137"/>
    </row>
    <row r="265" spans="1:27" x14ac:dyDescent="0.35">
      <c r="A265" s="135" t="str">
        <f>'Regional flood frequency analys'!A264</f>
        <v>Uwa Gaon</v>
      </c>
      <c r="B265" s="142">
        <f>'Regional flood frequency analys'!B264</f>
        <v>27090.762891999999</v>
      </c>
      <c r="C265" s="142">
        <f>'Regional flood frequency analys'!C264</f>
        <v>16396.2</v>
      </c>
      <c r="D265" s="142">
        <f>'Regional flood frequency analys'!D264</f>
        <v>10694.562891999998</v>
      </c>
      <c r="E265" s="142">
        <f>'Regional flood frequency analys'!E264</f>
        <v>1333.6379986843704</v>
      </c>
      <c r="F265" s="142">
        <f>'Regional flood frequency analys'!F264</f>
        <v>1373.2970216638953</v>
      </c>
      <c r="G265" s="142">
        <f>'Regional flood frequency analys'!G264</f>
        <v>1545.5938004055492</v>
      </c>
      <c r="H265" s="142">
        <f>'Regional flood frequency analys'!H264</f>
        <v>1685.92698402782</v>
      </c>
      <c r="I265" s="142">
        <f>'Regional flood frequency analys'!I264</f>
        <v>1820.5379429543755</v>
      </c>
      <c r="J265" s="142">
        <f>'Regional flood frequency analys'!J264</f>
        <v>1994.778021671088</v>
      </c>
      <c r="K265" s="142">
        <f>'Regional flood frequency analys'!K264</f>
        <v>2125.3464413823722</v>
      </c>
      <c r="L265" s="142">
        <f>'Regional flood frequency analys'!L264</f>
        <v>2255.4384388626427</v>
      </c>
      <c r="M265" s="142">
        <f>'Regional flood frequency analys'!M264</f>
        <v>2427.0701270491995</v>
      </c>
      <c r="N265" s="142">
        <f>'Regional flood frequency analys'!N264</f>
        <v>2556.7852903027942</v>
      </c>
      <c r="O265" s="142">
        <f>'Regional flood frequency analys'!O264</f>
        <v>2857.8320342625011</v>
      </c>
      <c r="P265" s="142">
        <f>'Regional flood frequency analys'!P264</f>
        <v>2987.462929682134</v>
      </c>
    </row>
    <row r="266" spans="1:27" x14ac:dyDescent="0.35">
      <c r="A266" s="135" t="str">
        <f>'Regional flood frequency analys'!A265</f>
        <v>Sabhaya</v>
      </c>
      <c r="B266" s="142">
        <f>'Regional flood frequency analys'!B265</f>
        <v>391.36</v>
      </c>
      <c r="C266" s="142">
        <f>'Regional flood frequency analys'!C265</f>
        <v>391.36</v>
      </c>
      <c r="D266" s="142">
        <f>'Regional flood frequency analys'!D265</f>
        <v>0</v>
      </c>
      <c r="E266" s="142">
        <f>'Regional flood frequency analys'!E265</f>
        <v>208.72311928241675</v>
      </c>
      <c r="F266" s="142">
        <f>'Regional flood frequency analys'!F265</f>
        <v>229.19227819315168</v>
      </c>
      <c r="G266" s="142">
        <f>'Regional flood frequency analys'!G265</f>
        <v>328.61695761715146</v>
      </c>
      <c r="H266" s="142">
        <f>'Regional flood frequency analys'!H265</f>
        <v>421.81397434430409</v>
      </c>
      <c r="I266" s="142">
        <f>'Regional flood frequency analys'!I265</f>
        <v>521.7221182634928</v>
      </c>
      <c r="J266" s="142">
        <f>'Regional flood frequency analys'!J265</f>
        <v>667.3998086767142</v>
      </c>
      <c r="K266" s="142">
        <f>'Regional flood frequency analys'!K265</f>
        <v>789.77090878732395</v>
      </c>
      <c r="L266" s="142">
        <f>'Regional flood frequency analys'!L265</f>
        <v>924.07362705970502</v>
      </c>
      <c r="M266" s="142">
        <f>'Regional flood frequency analys'!M265</f>
        <v>1122.1056650270341</v>
      </c>
      <c r="N266" s="142">
        <f>'Regional flood frequency analys'!N265</f>
        <v>1289.1112224289388</v>
      </c>
      <c r="O266" s="142">
        <f>'Regional flood frequency analys'!O265</f>
        <v>1742.4704713500792</v>
      </c>
      <c r="P266" s="142">
        <f>'Regional flood frequency analys'!P265</f>
        <v>1969.6530292179168</v>
      </c>
    </row>
    <row r="267" spans="1:27" x14ac:dyDescent="0.35">
      <c r="A267" s="135" t="str">
        <f>'Regional flood frequency analys'!A266</f>
        <v>Hinwa</v>
      </c>
      <c r="B267" s="142">
        <f>'Regional flood frequency analys'!B266</f>
        <v>148.13999999999999</v>
      </c>
      <c r="C267" s="142">
        <f>'Regional flood frequency analys'!C266</f>
        <v>148.13999999999999</v>
      </c>
      <c r="D267" s="142">
        <f>'Regional flood frequency analys'!D266</f>
        <v>0</v>
      </c>
      <c r="E267" s="142">
        <f>'Regional flood frequency analys'!E266</f>
        <v>42.938933036017502</v>
      </c>
      <c r="F267" s="142">
        <f>'Regional flood frequency analys'!F266</f>
        <v>45.59637317870736</v>
      </c>
      <c r="G267" s="142">
        <f>'Regional flood frequency analys'!G266</f>
        <v>57.141498143601538</v>
      </c>
      <c r="H267" s="142">
        <f>'Regional flood frequency analys'!H266</f>
        <v>66.544832050788926</v>
      </c>
      <c r="I267" s="142">
        <f>'Regional flood frequency analys'!I266</f>
        <v>75.564735694963105</v>
      </c>
      <c r="J267" s="142">
        <f>'Regional flood frequency analys'!J266</f>
        <v>87.240075752792762</v>
      </c>
      <c r="K267" s="142">
        <f>'Regional flood frequency analys'!K266</f>
        <v>95.98910015733955</v>
      </c>
      <c r="L267" s="142">
        <f>'Regional flood frequency analys'!L266</f>
        <v>104.70620084147045</v>
      </c>
      <c r="M267" s="142">
        <f>'Regional flood frequency analys'!M266</f>
        <v>116.20675994954684</v>
      </c>
      <c r="N267" s="142">
        <f>'Regional flood frequency analys'!N266</f>
        <v>124.89861002673202</v>
      </c>
      <c r="O267" s="142">
        <f>'Regional flood frequency analys'!O266</f>
        <v>145.07090984959029</v>
      </c>
      <c r="P267" s="142">
        <f>'Regional flood frequency analys'!P266</f>
        <v>153.75711337504814</v>
      </c>
    </row>
    <row r="268" spans="1:27" x14ac:dyDescent="0.35">
      <c r="A268" s="135" t="str">
        <f>'Regional flood frequency analys'!A267</f>
        <v>Turkeghat</v>
      </c>
      <c r="B268" s="142">
        <f>'Regional flood frequency analys'!B267</f>
        <v>28601.893849</v>
      </c>
      <c r="C268" s="142">
        <f>'Regional flood frequency analys'!C267</f>
        <v>17849.7</v>
      </c>
      <c r="D268" s="142">
        <f>'Regional flood frequency analys'!D267</f>
        <v>10752.193848999999</v>
      </c>
      <c r="E268" s="142">
        <f>'Regional flood frequency analys'!E267</f>
        <v>2798.584155022234</v>
      </c>
      <c r="F268" s="142">
        <f>'Regional flood frequency analys'!F267</f>
        <v>2964.5585453983908</v>
      </c>
      <c r="G268" s="142">
        <f>'Regional flood frequency analys'!G267</f>
        <v>3707.1927614848119</v>
      </c>
      <c r="H268" s="142">
        <f>'Regional flood frequency analys'!H267</f>
        <v>4334.4680606506599</v>
      </c>
      <c r="I268" s="142">
        <f>'Regional flood frequency analys'!I267</f>
        <v>4955.7672728051257</v>
      </c>
      <c r="J268" s="142">
        <f>'Regional flood frequency analys'!J267</f>
        <v>5793.0706203962409</v>
      </c>
      <c r="K268" s="142">
        <f>'Regional flood frequency analys'!K267</f>
        <v>6449.0721459088163</v>
      </c>
      <c r="L268" s="142">
        <f>'Regional flood frequency analys'!L267</f>
        <v>7130.5653035371224</v>
      </c>
      <c r="M268" s="142">
        <f>'Regional flood frequency analys'!M267</f>
        <v>8077.4973906914993</v>
      </c>
      <c r="N268" s="142">
        <f>'Regional flood frequency analys'!N267</f>
        <v>8833.080041107647</v>
      </c>
      <c r="O268" s="142">
        <f>'Regional flood frequency analys'!O267</f>
        <v>10736.078061451466</v>
      </c>
      <c r="P268" s="142">
        <f>'Regional flood frequency analys'!P267</f>
        <v>11626.531655402445</v>
      </c>
      <c r="S268" s="143"/>
      <c r="T268" s="143"/>
      <c r="U268" s="143"/>
      <c r="V268" s="143"/>
      <c r="W268" s="143"/>
      <c r="Y268" s="143"/>
      <c r="Z268" s="143"/>
    </row>
    <row r="270" spans="1:27" x14ac:dyDescent="0.35">
      <c r="A270" s="87" t="s">
        <v>150</v>
      </c>
    </row>
    <row r="271" spans="1:27" x14ac:dyDescent="0.35">
      <c r="D271" s="358" t="s">
        <v>147</v>
      </c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59"/>
    </row>
    <row r="272" spans="1:27" ht="21.75" x14ac:dyDescent="0.35">
      <c r="A272" s="335" t="s">
        <v>59</v>
      </c>
      <c r="B272" s="356" t="s">
        <v>128</v>
      </c>
      <c r="C272" s="357"/>
      <c r="D272" s="155" t="s">
        <v>113</v>
      </c>
      <c r="E272" s="155" t="s">
        <v>122</v>
      </c>
      <c r="F272" s="155" t="s">
        <v>114</v>
      </c>
      <c r="G272" s="155" t="s">
        <v>115</v>
      </c>
      <c r="H272" s="155" t="s">
        <v>116</v>
      </c>
      <c r="I272" s="155" t="s">
        <v>117</v>
      </c>
      <c r="J272" s="155" t="s">
        <v>118</v>
      </c>
      <c r="K272" s="155" t="s">
        <v>119</v>
      </c>
      <c r="L272" s="155" t="s">
        <v>120</v>
      </c>
      <c r="M272" s="155" t="s">
        <v>121</v>
      </c>
      <c r="N272" s="279" t="s">
        <v>229</v>
      </c>
      <c r="O272" s="279" t="s">
        <v>226</v>
      </c>
    </row>
    <row r="273" spans="1:29" ht="33.75" customHeight="1" x14ac:dyDescent="0.35">
      <c r="A273" s="335"/>
      <c r="B273" s="128" t="s">
        <v>60</v>
      </c>
      <c r="C273" s="181" t="s">
        <v>127</v>
      </c>
      <c r="D273" s="153">
        <v>2</v>
      </c>
      <c r="E273" s="153">
        <v>2.33</v>
      </c>
      <c r="F273" s="153">
        <v>5</v>
      </c>
      <c r="G273" s="153">
        <v>10</v>
      </c>
      <c r="H273" s="153">
        <v>20</v>
      </c>
      <c r="I273" s="153">
        <v>50</v>
      </c>
      <c r="J273" s="153">
        <v>100</v>
      </c>
      <c r="K273" s="153">
        <v>200</v>
      </c>
      <c r="L273" s="153">
        <v>500</v>
      </c>
      <c r="M273" s="153">
        <v>1000</v>
      </c>
      <c r="N273" s="153">
        <v>5000</v>
      </c>
      <c r="O273" s="153">
        <v>10000</v>
      </c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</row>
    <row r="274" spans="1:29" x14ac:dyDescent="0.35">
      <c r="A274" s="135" t="str">
        <f>+A267</f>
        <v>Hinwa</v>
      </c>
      <c r="B274" s="142">
        <f>+B267</f>
        <v>148.13999999999999</v>
      </c>
      <c r="C274" s="142">
        <f>+C267</f>
        <v>148.13999999999999</v>
      </c>
      <c r="D274" s="174">
        <f t="shared" ref="D274:O274" si="0">+E267</f>
        <v>42.938933036017502</v>
      </c>
      <c r="E274" s="174">
        <f t="shared" si="0"/>
        <v>45.59637317870736</v>
      </c>
      <c r="F274" s="174">
        <f t="shared" si="0"/>
        <v>57.141498143601538</v>
      </c>
      <c r="G274" s="174">
        <f t="shared" si="0"/>
        <v>66.544832050788926</v>
      </c>
      <c r="H274" s="174">
        <f t="shared" si="0"/>
        <v>75.564735694963105</v>
      </c>
      <c r="I274" s="174">
        <f t="shared" si="0"/>
        <v>87.240075752792762</v>
      </c>
      <c r="J274" s="174">
        <f t="shared" si="0"/>
        <v>95.98910015733955</v>
      </c>
      <c r="K274" s="174">
        <f t="shared" si="0"/>
        <v>104.70620084147045</v>
      </c>
      <c r="L274" s="174">
        <f t="shared" si="0"/>
        <v>116.20675994954684</v>
      </c>
      <c r="M274" s="174">
        <f t="shared" si="0"/>
        <v>124.89861002673202</v>
      </c>
      <c r="N274" s="174">
        <f t="shared" si="0"/>
        <v>145.07090984959029</v>
      </c>
      <c r="O274" s="174">
        <f t="shared" si="0"/>
        <v>153.75711337504814</v>
      </c>
      <c r="P274" s="212"/>
      <c r="Q274" s="212"/>
      <c r="R274" s="212"/>
      <c r="S274" s="212"/>
      <c r="T274" s="212"/>
      <c r="U274" s="212"/>
      <c r="V274" s="212"/>
      <c r="W274" s="212"/>
      <c r="X274" s="212"/>
      <c r="Y274" s="212"/>
      <c r="Z274" s="212"/>
      <c r="AA274" s="212"/>
      <c r="AB274" s="212"/>
      <c r="AC274" s="212"/>
    </row>
    <row r="275" spans="1:29" x14ac:dyDescent="0.35">
      <c r="A275" s="135" t="str">
        <f>+A266</f>
        <v>Sabhaya</v>
      </c>
      <c r="B275" s="142">
        <f>+B266</f>
        <v>391.36</v>
      </c>
      <c r="C275" s="142">
        <f>+C266</f>
        <v>391.36</v>
      </c>
      <c r="D275" s="174">
        <f t="shared" ref="D275:O275" si="1">+E266</f>
        <v>208.72311928241675</v>
      </c>
      <c r="E275" s="174">
        <f t="shared" si="1"/>
        <v>229.19227819315168</v>
      </c>
      <c r="F275" s="174">
        <f t="shared" si="1"/>
        <v>328.61695761715146</v>
      </c>
      <c r="G275" s="174">
        <f t="shared" si="1"/>
        <v>421.81397434430409</v>
      </c>
      <c r="H275" s="174">
        <f t="shared" si="1"/>
        <v>521.7221182634928</v>
      </c>
      <c r="I275" s="174">
        <f t="shared" si="1"/>
        <v>667.3998086767142</v>
      </c>
      <c r="J275" s="174">
        <f t="shared" si="1"/>
        <v>789.77090878732395</v>
      </c>
      <c r="K275" s="174">
        <f t="shared" si="1"/>
        <v>924.07362705970502</v>
      </c>
      <c r="L275" s="174">
        <f t="shared" si="1"/>
        <v>1122.1056650270341</v>
      </c>
      <c r="M275" s="174">
        <f t="shared" si="1"/>
        <v>1289.1112224289388</v>
      </c>
      <c r="N275" s="174">
        <f t="shared" si="1"/>
        <v>1742.4704713500792</v>
      </c>
      <c r="O275" s="174">
        <f t="shared" si="1"/>
        <v>1969.6530292179168</v>
      </c>
      <c r="P275" s="212"/>
      <c r="Q275" s="212"/>
      <c r="R275" s="212"/>
      <c r="S275" s="212"/>
      <c r="T275" s="212"/>
      <c r="U275" s="212"/>
      <c r="V275" s="212"/>
      <c r="W275" s="212"/>
      <c r="X275" s="212"/>
      <c r="Y275" s="212"/>
      <c r="Z275" s="212"/>
      <c r="AA275" s="212"/>
      <c r="AB275" s="212"/>
      <c r="AC275" s="212"/>
    </row>
    <row r="276" spans="1:29" x14ac:dyDescent="0.35">
      <c r="A276" s="135" t="str">
        <f>+A265</f>
        <v>Uwa Gaon</v>
      </c>
      <c r="B276" s="142">
        <f>+B265</f>
        <v>27090.762891999999</v>
      </c>
      <c r="C276" s="142">
        <f>C265</f>
        <v>16396.2</v>
      </c>
      <c r="D276" s="174">
        <f t="shared" ref="D276:O276" si="2">+E265</f>
        <v>1333.6379986843704</v>
      </c>
      <c r="E276" s="174">
        <f t="shared" si="2"/>
        <v>1373.2970216638953</v>
      </c>
      <c r="F276" s="174">
        <f t="shared" si="2"/>
        <v>1545.5938004055492</v>
      </c>
      <c r="G276" s="174">
        <f t="shared" si="2"/>
        <v>1685.92698402782</v>
      </c>
      <c r="H276" s="174">
        <f t="shared" si="2"/>
        <v>1820.5379429543755</v>
      </c>
      <c r="I276" s="174">
        <f t="shared" si="2"/>
        <v>1994.778021671088</v>
      </c>
      <c r="J276" s="174">
        <f t="shared" si="2"/>
        <v>2125.3464413823722</v>
      </c>
      <c r="K276" s="174">
        <f t="shared" si="2"/>
        <v>2255.4384388626427</v>
      </c>
      <c r="L276" s="174">
        <f t="shared" si="2"/>
        <v>2427.0701270491995</v>
      </c>
      <c r="M276" s="174">
        <f t="shared" si="2"/>
        <v>2556.7852903027942</v>
      </c>
      <c r="N276" s="174">
        <f t="shared" si="2"/>
        <v>2857.8320342625011</v>
      </c>
      <c r="O276" s="174">
        <f t="shared" si="2"/>
        <v>2987.462929682134</v>
      </c>
      <c r="P276" s="212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  <c r="AA276" s="212"/>
      <c r="AB276" s="212"/>
      <c r="AC276" s="212"/>
    </row>
    <row r="277" spans="1:29" x14ac:dyDescent="0.35">
      <c r="A277" s="135" t="str">
        <f>+A268</f>
        <v>Turkeghat</v>
      </c>
      <c r="B277" s="142">
        <f>+B268</f>
        <v>28601.893849</v>
      </c>
      <c r="C277" s="142">
        <f>+C268</f>
        <v>17849.7</v>
      </c>
      <c r="D277" s="174">
        <f t="shared" ref="D277:O277" si="3">+E268</f>
        <v>2798.584155022234</v>
      </c>
      <c r="E277" s="174">
        <f t="shared" si="3"/>
        <v>2964.5585453983908</v>
      </c>
      <c r="F277" s="174">
        <f t="shared" si="3"/>
        <v>3707.1927614848119</v>
      </c>
      <c r="G277" s="174">
        <f t="shared" si="3"/>
        <v>4334.4680606506599</v>
      </c>
      <c r="H277" s="174">
        <f t="shared" si="3"/>
        <v>4955.7672728051257</v>
      </c>
      <c r="I277" s="174">
        <f t="shared" si="3"/>
        <v>5793.0706203962409</v>
      </c>
      <c r="J277" s="174">
        <f t="shared" si="3"/>
        <v>6449.0721459088163</v>
      </c>
      <c r="K277" s="174">
        <f t="shared" si="3"/>
        <v>7130.5653035371224</v>
      </c>
      <c r="L277" s="174">
        <f t="shared" si="3"/>
        <v>8077.4973906914993</v>
      </c>
      <c r="M277" s="174">
        <f t="shared" si="3"/>
        <v>8833.080041107647</v>
      </c>
      <c r="N277" s="174">
        <f t="shared" si="3"/>
        <v>10736.078061451466</v>
      </c>
      <c r="O277" s="174">
        <f t="shared" si="3"/>
        <v>11626.531655402445</v>
      </c>
      <c r="P277" s="212"/>
      <c r="Q277" s="212"/>
      <c r="R277" s="212"/>
      <c r="S277" s="212"/>
      <c r="T277" s="212"/>
      <c r="U277" s="212"/>
      <c r="V277" s="212"/>
      <c r="W277" s="212"/>
      <c r="X277" s="212"/>
      <c r="Y277" s="212"/>
      <c r="Z277" s="212"/>
      <c r="AA277" s="212"/>
      <c r="AB277" s="212"/>
      <c r="AC277" s="212"/>
    </row>
    <row r="278" spans="1:29" x14ac:dyDescent="0.35">
      <c r="A278" s="143"/>
      <c r="B278" s="150"/>
      <c r="C278" s="143"/>
      <c r="D278" s="151"/>
      <c r="E278" s="143"/>
      <c r="F278" s="152"/>
      <c r="P278" s="205" t="str">
        <f>+D272</f>
        <v>Q2</v>
      </c>
      <c r="U278" s="205" t="str">
        <f>+E272</f>
        <v>Q2.33</v>
      </c>
      <c r="Z278" s="205" t="str">
        <f>+F272</f>
        <v>Q5</v>
      </c>
    </row>
    <row r="279" spans="1:29" x14ac:dyDescent="0.35">
      <c r="A279" s="143"/>
      <c r="B279" s="150"/>
      <c r="C279" s="143"/>
      <c r="D279" s="151"/>
      <c r="E279" s="143"/>
      <c r="F279" s="152"/>
      <c r="J279" s="197"/>
      <c r="K279" s="197"/>
      <c r="L279" s="197"/>
      <c r="M279" s="197"/>
      <c r="N279" s="197"/>
      <c r="O279" s="197"/>
      <c r="P279" s="203" t="s">
        <v>139</v>
      </c>
      <c r="Q279" s="203" t="s">
        <v>140</v>
      </c>
      <c r="R279" s="203" t="s">
        <v>141</v>
      </c>
      <c r="S279" s="197"/>
      <c r="T279" s="197"/>
      <c r="U279" s="203" t="s">
        <v>139</v>
      </c>
      <c r="V279" s="203" t="s">
        <v>140</v>
      </c>
      <c r="W279" s="203" t="s">
        <v>141</v>
      </c>
      <c r="Y279" s="197"/>
      <c r="Z279" s="203" t="s">
        <v>139</v>
      </c>
      <c r="AA279" s="203" t="s">
        <v>140</v>
      </c>
      <c r="AB279" s="203" t="s">
        <v>141</v>
      </c>
    </row>
    <row r="280" spans="1:29" x14ac:dyDescent="0.35">
      <c r="J280" s="198"/>
      <c r="K280" s="198"/>
      <c r="L280" s="198"/>
      <c r="M280" s="198"/>
      <c r="N280" s="198"/>
      <c r="O280" s="135" t="s">
        <v>144</v>
      </c>
      <c r="P280" s="206">
        <f t="array" ref="P280:R287">LINEST(D274:D277,C274:C277^{1,2},TRUE,TRUE)</f>
        <v>5.0675161713246247E-5</v>
      </c>
      <c r="Q280" s="207">
        <v>-0.76749659269997317</v>
      </c>
      <c r="R280" s="207">
        <v>325.9266223584882</v>
      </c>
      <c r="S280" s="198"/>
      <c r="T280" s="135" t="s">
        <v>144</v>
      </c>
      <c r="U280" s="206">
        <f t="array" ref="U280:W287">LINEST(E274:E277,C274:C277^{1,2},TRUE,TRUE)</f>
        <v>5.5274421910359486E-5</v>
      </c>
      <c r="V280" s="207">
        <v>-0.84218529627684446</v>
      </c>
      <c r="W280" s="207">
        <v>356.97880043981513</v>
      </c>
      <c r="Y280" s="135" t="s">
        <v>144</v>
      </c>
      <c r="Z280" s="206">
        <f t="array" ref="Z280:AB287">LINEST(F274:F277,C274:C277^{1,2},TRUE,TRUE)</f>
        <v>7.6024261191613831E-5</v>
      </c>
      <c r="AA280" s="207">
        <v>-1.1797177356395012</v>
      </c>
      <c r="AB280" s="207">
        <v>500.48730045829325</v>
      </c>
    </row>
    <row r="281" spans="1:29" x14ac:dyDescent="0.35">
      <c r="J281" s="198"/>
      <c r="O281" s="135" t="s">
        <v>145</v>
      </c>
      <c r="P281" s="201">
        <v>1.4169302778439767E-5</v>
      </c>
      <c r="Q281" s="202">
        <v>0.24816734634428608</v>
      </c>
      <c r="R281" s="202">
        <v>192.33096100327356</v>
      </c>
      <c r="T281" s="135" t="s">
        <v>145</v>
      </c>
      <c r="U281" s="201">
        <v>1.5618745651381038E-5</v>
      </c>
      <c r="V281" s="202">
        <v>0.27355352074397532</v>
      </c>
      <c r="W281" s="202">
        <v>212.005375830253</v>
      </c>
      <c r="Y281" s="135" t="s">
        <v>145</v>
      </c>
      <c r="Z281" s="201">
        <v>2.247184150123715E-5</v>
      </c>
      <c r="AA281" s="202">
        <v>0.39358162924693324</v>
      </c>
      <c r="AB281" s="202">
        <v>305.02777299829756</v>
      </c>
    </row>
    <row r="282" spans="1:29" ht="18.75" x14ac:dyDescent="0.35">
      <c r="O282" s="135" t="s">
        <v>143</v>
      </c>
      <c r="P282" s="209">
        <v>0.98732300633305992</v>
      </c>
      <c r="Q282" s="202">
        <v>247.99588567037875</v>
      </c>
      <c r="R282" s="202" t="e">
        <v>#N/A</v>
      </c>
      <c r="T282" s="135" t="s">
        <v>143</v>
      </c>
      <c r="U282" s="209">
        <v>0.98618712961153032</v>
      </c>
      <c r="V282" s="202">
        <v>273.36452057248857</v>
      </c>
      <c r="W282" s="202" t="e">
        <v>#N/A</v>
      </c>
      <c r="Y282" s="135" t="s">
        <v>143</v>
      </c>
      <c r="Z282" s="209">
        <v>0.98135132653228541</v>
      </c>
      <c r="AA282" s="202">
        <v>393.30970075842617</v>
      </c>
      <c r="AB282" s="202" t="e">
        <v>#N/A</v>
      </c>
    </row>
    <row r="283" spans="1:29" ht="18.75" x14ac:dyDescent="0.35">
      <c r="J283" s="198"/>
      <c r="O283" s="338" t="s">
        <v>145</v>
      </c>
      <c r="P283" s="202">
        <v>38.941527947113428</v>
      </c>
      <c r="Q283" s="202">
        <v>1</v>
      </c>
      <c r="R283" s="202" t="e">
        <v>#N/A</v>
      </c>
      <c r="S283" s="199"/>
      <c r="T283" s="338" t="s">
        <v>145</v>
      </c>
      <c r="U283" s="202">
        <v>35.698124353456549</v>
      </c>
      <c r="V283" s="202">
        <v>1</v>
      </c>
      <c r="W283" s="202" t="e">
        <v>#N/A</v>
      </c>
      <c r="X283" s="199"/>
      <c r="Y283" s="338" t="s">
        <v>145</v>
      </c>
      <c r="Z283" s="202">
        <v>26.311558519999959</v>
      </c>
      <c r="AA283" s="202">
        <v>1</v>
      </c>
      <c r="AB283" s="202" t="e">
        <v>#N/A</v>
      </c>
    </row>
    <row r="284" spans="1:29" ht="18.75" x14ac:dyDescent="0.35">
      <c r="O284" s="339"/>
      <c r="P284" s="202">
        <v>4789960.5345012369</v>
      </c>
      <c r="Q284" s="202">
        <v>61501.959309435573</v>
      </c>
      <c r="R284" s="202" t="e">
        <v>#N/A</v>
      </c>
      <c r="S284" s="199"/>
      <c r="T284" s="339"/>
      <c r="U284" s="202">
        <v>5335310.3758646538</v>
      </c>
      <c r="V284" s="202">
        <v>74728.161107826527</v>
      </c>
      <c r="W284" s="202" t="e">
        <v>#N/A</v>
      </c>
      <c r="X284" s="199"/>
      <c r="Y284" s="339"/>
      <c r="Z284" s="202">
        <v>8140402.6225708686</v>
      </c>
      <c r="AA284" s="202">
        <v>154692.52071068273</v>
      </c>
      <c r="AB284" s="202" t="e">
        <v>#N/A</v>
      </c>
    </row>
    <row r="285" spans="1:29" ht="18.75" x14ac:dyDescent="0.35">
      <c r="O285" s="339"/>
      <c r="P285" s="202" t="e">
        <v>#N/A</v>
      </c>
      <c r="Q285" s="202" t="e">
        <v>#N/A</v>
      </c>
      <c r="R285" s="202" t="e">
        <v>#N/A</v>
      </c>
      <c r="S285" s="199"/>
      <c r="T285" s="339"/>
      <c r="U285" s="202" t="e">
        <v>#N/A</v>
      </c>
      <c r="V285" s="202" t="e">
        <v>#N/A</v>
      </c>
      <c r="W285" s="202" t="e">
        <v>#N/A</v>
      </c>
      <c r="X285" s="199"/>
      <c r="Y285" s="339"/>
      <c r="Z285" s="202" t="e">
        <v>#N/A</v>
      </c>
      <c r="AA285" s="202" t="e">
        <v>#N/A</v>
      </c>
      <c r="AB285" s="202" t="e">
        <v>#N/A</v>
      </c>
    </row>
    <row r="286" spans="1:29" x14ac:dyDescent="0.35">
      <c r="O286" s="339"/>
      <c r="P286" s="202" t="e">
        <v>#N/A</v>
      </c>
      <c r="Q286" s="202" t="e">
        <v>#N/A</v>
      </c>
      <c r="R286" s="202" t="e">
        <v>#N/A</v>
      </c>
      <c r="T286" s="339"/>
      <c r="U286" s="202" t="e">
        <v>#N/A</v>
      </c>
      <c r="V286" s="202" t="e">
        <v>#N/A</v>
      </c>
      <c r="W286" s="202" t="e">
        <v>#N/A</v>
      </c>
      <c r="Y286" s="339"/>
      <c r="Z286" s="202" t="e">
        <v>#N/A</v>
      </c>
      <c r="AA286" s="202" t="e">
        <v>#N/A</v>
      </c>
      <c r="AB286" s="202" t="e">
        <v>#N/A</v>
      </c>
    </row>
    <row r="287" spans="1:29" x14ac:dyDescent="0.35">
      <c r="O287" s="340"/>
      <c r="P287" s="202" t="e">
        <v>#N/A</v>
      </c>
      <c r="Q287" s="202" t="e">
        <v>#N/A</v>
      </c>
      <c r="R287" s="202" t="e">
        <v>#N/A</v>
      </c>
      <c r="T287" s="340"/>
      <c r="U287" s="202" t="e">
        <v>#N/A</v>
      </c>
      <c r="V287" s="202" t="e">
        <v>#N/A</v>
      </c>
      <c r="W287" s="202" t="e">
        <v>#N/A</v>
      </c>
      <c r="Y287" s="340"/>
      <c r="Z287" s="202" t="e">
        <v>#N/A</v>
      </c>
      <c r="AA287" s="202" t="e">
        <v>#N/A</v>
      </c>
      <c r="AB287" s="202" t="e">
        <v>#N/A</v>
      </c>
    </row>
    <row r="288" spans="1:29" ht="18.75" x14ac:dyDescent="0.35">
      <c r="P288" s="200"/>
      <c r="Q288" s="200"/>
      <c r="R288" s="200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</row>
    <row r="289" spans="15:28" s="104" customFormat="1" ht="18.75" x14ac:dyDescent="0.35">
      <c r="Q289" s="210" t="s">
        <v>142</v>
      </c>
      <c r="R289" s="204"/>
      <c r="S289" s="199"/>
      <c r="V289" s="210" t="s">
        <v>142</v>
      </c>
      <c r="W289" s="204"/>
      <c r="X289" s="199"/>
      <c r="AA289" s="210" t="s">
        <v>142</v>
      </c>
      <c r="AB289" s="204"/>
    </row>
    <row r="290" spans="15:28" s="104" customFormat="1" ht="18.75" x14ac:dyDescent="0.35">
      <c r="P290" s="205" t="str">
        <f>+G272</f>
        <v>Q10</v>
      </c>
      <c r="S290" s="199"/>
      <c r="U290" s="205" t="str">
        <f>+H272</f>
        <v>Q20</v>
      </c>
      <c r="X290" s="199"/>
      <c r="Z290" s="205" t="str">
        <f>+I272</f>
        <v>Q50</v>
      </c>
    </row>
    <row r="291" spans="15:28" s="104" customFormat="1" x14ac:dyDescent="0.35">
      <c r="O291" s="197"/>
      <c r="P291" s="203" t="s">
        <v>139</v>
      </c>
      <c r="Q291" s="203" t="s">
        <v>140</v>
      </c>
      <c r="R291" s="203" t="s">
        <v>141</v>
      </c>
      <c r="T291" s="197"/>
      <c r="U291" s="203" t="s">
        <v>139</v>
      </c>
      <c r="V291" s="203" t="s">
        <v>140</v>
      </c>
      <c r="W291" s="203" t="s">
        <v>141</v>
      </c>
      <c r="Y291" s="197"/>
      <c r="Z291" s="203" t="s">
        <v>139</v>
      </c>
      <c r="AA291" s="203" t="s">
        <v>140</v>
      </c>
      <c r="AB291" s="203" t="s">
        <v>141</v>
      </c>
    </row>
    <row r="292" spans="15:28" s="104" customFormat="1" x14ac:dyDescent="0.35">
      <c r="O292" s="135" t="s">
        <v>144</v>
      </c>
      <c r="P292" s="208">
        <f t="array" ref="P292:R299">LINEST(G274:G277,C274:C277^{1,2},TRUE,TRUE)</f>
        <v>9.3716739701001984E-5</v>
      </c>
      <c r="Q292" s="208">
        <v>-1.4681171498613268</v>
      </c>
      <c r="R292" s="208">
        <v>626.93814710516199</v>
      </c>
      <c r="T292" s="135" t="s">
        <v>144</v>
      </c>
      <c r="U292" s="206">
        <f t="array" ref="U292:W299">LINEST(H274:H277,C274:C277^{1,2},TRUE,TRUE)</f>
        <v>1.113814371231949E-4</v>
      </c>
      <c r="V292" s="207">
        <v>-1.7565612259086663</v>
      </c>
      <c r="W292" s="207">
        <v>756.51593132233393</v>
      </c>
      <c r="Y292" s="135" t="s">
        <v>144</v>
      </c>
      <c r="Z292" s="206">
        <f t="array" ref="Z292:AB299">LINEST(I274:I277,C274:C277^{1,2},TRUE,TRUE)</f>
        <v>1.3542475725752067E-4</v>
      </c>
      <c r="AA292" s="207">
        <v>-2.1499354688218562</v>
      </c>
      <c r="AB292" s="207">
        <v>937.56253809408736</v>
      </c>
    </row>
    <row r="293" spans="15:28" s="104" customFormat="1" x14ac:dyDescent="0.35">
      <c r="O293" s="135" t="s">
        <v>145</v>
      </c>
      <c r="P293" s="201">
        <v>2.8684303339356389E-5</v>
      </c>
      <c r="Q293" s="202">
        <v>0.50238939436697272</v>
      </c>
      <c r="R293" s="202">
        <v>389.35434673343781</v>
      </c>
      <c r="T293" s="135" t="s">
        <v>145</v>
      </c>
      <c r="U293" s="201">
        <v>3.5188057745954885E-5</v>
      </c>
      <c r="V293" s="202">
        <v>0.61629898452806542</v>
      </c>
      <c r="W293" s="202">
        <v>477.63486093444078</v>
      </c>
      <c r="Y293" s="135" t="s">
        <v>145</v>
      </c>
      <c r="Z293" s="201">
        <v>4.4469831805097556E-5</v>
      </c>
      <c r="AA293" s="202">
        <v>0.77886402203503502</v>
      </c>
      <c r="AB293" s="202">
        <v>603.62359535025826</v>
      </c>
    </row>
    <row r="294" spans="15:28" s="104" customFormat="1" ht="18.75" x14ac:dyDescent="0.35">
      <c r="O294" s="135" t="s">
        <v>143</v>
      </c>
      <c r="P294" s="209">
        <v>0.97753866710121828</v>
      </c>
      <c r="Q294" s="202">
        <v>502.04228978052743</v>
      </c>
      <c r="R294" s="202" t="e">
        <v>#N/A</v>
      </c>
      <c r="T294" s="135" t="s">
        <v>143</v>
      </c>
      <c r="U294" s="209">
        <v>0.97394816558147002</v>
      </c>
      <c r="V294" s="202">
        <v>615.87317895464003</v>
      </c>
      <c r="W294" s="202" t="e">
        <v>#N/A</v>
      </c>
      <c r="Y294" s="135" t="s">
        <v>143</v>
      </c>
      <c r="Z294" s="209">
        <v>0.96932440633487471</v>
      </c>
      <c r="AA294" s="202">
        <v>778.32589906250246</v>
      </c>
      <c r="AB294" s="202" t="e">
        <v>#N/A</v>
      </c>
    </row>
    <row r="295" spans="15:28" s="104" customFormat="1" x14ac:dyDescent="0.35">
      <c r="O295" s="338" t="s">
        <v>145</v>
      </c>
      <c r="P295" s="202">
        <v>21.76047769529827</v>
      </c>
      <c r="Q295" s="202">
        <v>1</v>
      </c>
      <c r="R295" s="202" t="e">
        <v>#N/A</v>
      </c>
      <c r="T295" s="338" t="s">
        <v>145</v>
      </c>
      <c r="U295" s="202">
        <v>18.692506445702119</v>
      </c>
      <c r="V295" s="202">
        <v>1</v>
      </c>
      <c r="W295" s="202" t="e">
        <v>#N/A</v>
      </c>
      <c r="Y295" s="338" t="s">
        <v>145</v>
      </c>
      <c r="Z295" s="202">
        <v>15.799603047892891</v>
      </c>
      <c r="AA295" s="202">
        <v>1</v>
      </c>
      <c r="AB295" s="202" t="e">
        <v>#N/A</v>
      </c>
    </row>
    <row r="296" spans="15:28" s="104" customFormat="1" x14ac:dyDescent="0.35">
      <c r="O296" s="339"/>
      <c r="P296" s="202">
        <v>10969302.773704298</v>
      </c>
      <c r="Q296" s="202">
        <v>252046.46072807506</v>
      </c>
      <c r="R296" s="202" t="e">
        <v>#N/A</v>
      </c>
      <c r="T296" s="339"/>
      <c r="U296" s="202">
        <v>14180126.886701316</v>
      </c>
      <c r="V296" s="202">
        <v>379299.77255569404</v>
      </c>
      <c r="W296" s="202" t="e">
        <v>#N/A</v>
      </c>
      <c r="Y296" s="339"/>
      <c r="Z296" s="202">
        <v>19142521.142595202</v>
      </c>
      <c r="AA296" s="202">
        <v>605791.2051514528</v>
      </c>
      <c r="AB296" s="202" t="e">
        <v>#N/A</v>
      </c>
    </row>
    <row r="297" spans="15:28" s="104" customFormat="1" x14ac:dyDescent="0.35">
      <c r="O297" s="339"/>
      <c r="P297" s="202" t="e">
        <v>#N/A</v>
      </c>
      <c r="Q297" s="202" t="e">
        <v>#N/A</v>
      </c>
      <c r="R297" s="202" t="e">
        <v>#N/A</v>
      </c>
      <c r="T297" s="339"/>
      <c r="U297" s="202" t="e">
        <v>#N/A</v>
      </c>
      <c r="V297" s="202" t="e">
        <v>#N/A</v>
      </c>
      <c r="W297" s="202" t="e">
        <v>#N/A</v>
      </c>
      <c r="Y297" s="339"/>
      <c r="Z297" s="202" t="e">
        <v>#N/A</v>
      </c>
      <c r="AA297" s="202" t="e">
        <v>#N/A</v>
      </c>
      <c r="AB297" s="202" t="e">
        <v>#N/A</v>
      </c>
    </row>
    <row r="298" spans="15:28" s="104" customFormat="1" x14ac:dyDescent="0.35">
      <c r="O298" s="339"/>
      <c r="P298" s="202" t="e">
        <v>#N/A</v>
      </c>
      <c r="Q298" s="202" t="e">
        <v>#N/A</v>
      </c>
      <c r="R298" s="202" t="e">
        <v>#N/A</v>
      </c>
      <c r="T298" s="339"/>
      <c r="U298" s="202" t="e">
        <v>#N/A</v>
      </c>
      <c r="V298" s="202" t="e">
        <v>#N/A</v>
      </c>
      <c r="W298" s="202" t="e">
        <v>#N/A</v>
      </c>
      <c r="Y298" s="339"/>
      <c r="Z298" s="202" t="e">
        <v>#N/A</v>
      </c>
      <c r="AA298" s="202" t="e">
        <v>#N/A</v>
      </c>
      <c r="AB298" s="202" t="e">
        <v>#N/A</v>
      </c>
    </row>
    <row r="299" spans="15:28" s="104" customFormat="1" x14ac:dyDescent="0.35">
      <c r="O299" s="340"/>
      <c r="P299" s="202" t="e">
        <v>#N/A</v>
      </c>
      <c r="Q299" s="202" t="e">
        <v>#N/A</v>
      </c>
      <c r="R299" s="202" t="e">
        <v>#N/A</v>
      </c>
      <c r="T299" s="340"/>
      <c r="U299" s="202" t="e">
        <v>#N/A</v>
      </c>
      <c r="V299" s="202" t="e">
        <v>#N/A</v>
      </c>
      <c r="W299" s="202" t="e">
        <v>#N/A</v>
      </c>
      <c r="Y299" s="340"/>
      <c r="Z299" s="202" t="e">
        <v>#N/A</v>
      </c>
      <c r="AA299" s="202" t="e">
        <v>#N/A</v>
      </c>
      <c r="AB299" s="202" t="e">
        <v>#N/A</v>
      </c>
    </row>
    <row r="301" spans="15:28" s="104" customFormat="1" ht="18.75" x14ac:dyDescent="0.35">
      <c r="Q301" s="210" t="s">
        <v>142</v>
      </c>
      <c r="R301" s="204"/>
      <c r="V301" s="210" t="s">
        <v>142</v>
      </c>
      <c r="W301" s="204"/>
      <c r="AA301" s="210" t="s">
        <v>142</v>
      </c>
      <c r="AB301" s="204"/>
    </row>
    <row r="302" spans="15:28" s="104" customFormat="1" x14ac:dyDescent="0.35">
      <c r="P302" s="205" t="str">
        <f>+J272</f>
        <v>Q100</v>
      </c>
      <c r="U302" s="205" t="str">
        <f>+K272</f>
        <v>Q200</v>
      </c>
      <c r="Z302" s="205" t="str">
        <f>+L272</f>
        <v>Q500</v>
      </c>
    </row>
    <row r="303" spans="15:28" s="104" customFormat="1" x14ac:dyDescent="0.35">
      <c r="O303" s="197"/>
      <c r="P303" s="203" t="s">
        <v>139</v>
      </c>
      <c r="Q303" s="203" t="s">
        <v>140</v>
      </c>
      <c r="R303" s="203" t="s">
        <v>141</v>
      </c>
      <c r="T303" s="197"/>
      <c r="U303" s="203" t="s">
        <v>139</v>
      </c>
      <c r="V303" s="203" t="s">
        <v>140</v>
      </c>
      <c r="W303" s="203" t="s">
        <v>141</v>
      </c>
      <c r="Y303" s="197"/>
      <c r="Z303" s="203" t="s">
        <v>139</v>
      </c>
      <c r="AA303" s="203" t="s">
        <v>140</v>
      </c>
      <c r="AB303" s="203" t="s">
        <v>141</v>
      </c>
    </row>
    <row r="304" spans="15:28" s="104" customFormat="1" x14ac:dyDescent="0.35">
      <c r="O304" s="135" t="s">
        <v>144</v>
      </c>
      <c r="P304" s="206">
        <f t="array" ref="P304:R311">LINEST(J274:J277,C274:C277^{1,2},TRUE,TRUE)</f>
        <v>1.5446318969820872E-4</v>
      </c>
      <c r="Q304" s="207">
        <v>-2.462038848406777</v>
      </c>
      <c r="R304" s="207">
        <v>1084.293546010922</v>
      </c>
      <c r="T304" s="135" t="s">
        <v>144</v>
      </c>
      <c r="U304" s="206">
        <f t="array" ref="U304:W311">LINEST(K274:K277,C274:C277^{1,2},TRUE,TRUE)</f>
        <v>1.744319652618963E-4</v>
      </c>
      <c r="V304" s="207">
        <v>-2.7899491795546862</v>
      </c>
      <c r="W304" s="207">
        <v>1241.0434781662589</v>
      </c>
      <c r="Y304" s="135" t="s">
        <v>144</v>
      </c>
      <c r="Z304" s="206">
        <f t="array" ref="Z304:AB311">LINEST(L274:L277,C274:C277^{1,2},TRUE,TRUE)</f>
        <v>2.024938950401947E-4</v>
      </c>
      <c r="AA304" s="207">
        <v>-3.2516544260689955</v>
      </c>
      <c r="AB304" s="207">
        <v>1465.7642540537199</v>
      </c>
    </row>
    <row r="305" spans="15:28" s="104" customFormat="1" x14ac:dyDescent="0.35">
      <c r="O305" s="135" t="s">
        <v>145</v>
      </c>
      <c r="P305" s="201">
        <v>5.2133500718992579E-5</v>
      </c>
      <c r="Q305" s="202">
        <v>0.91308886057235827</v>
      </c>
      <c r="R305" s="202">
        <v>707.64853080883245</v>
      </c>
      <c r="T305" s="135" t="s">
        <v>145</v>
      </c>
      <c r="U305" s="201">
        <v>6.0439901714686875E-5</v>
      </c>
      <c r="V305" s="202">
        <v>1.0585707890063822</v>
      </c>
      <c r="W305" s="202">
        <v>820.39776843622417</v>
      </c>
      <c r="Y305" s="135" t="s">
        <v>145</v>
      </c>
      <c r="Z305" s="201">
        <v>7.2533419502399389E-5</v>
      </c>
      <c r="AA305" s="202">
        <v>1.2703819320296459</v>
      </c>
      <c r="AB305" s="202">
        <v>984.55248616587062</v>
      </c>
    </row>
    <row r="306" spans="15:28" s="104" customFormat="1" ht="18.75" x14ac:dyDescent="0.35">
      <c r="O306" s="135" t="s">
        <v>143</v>
      </c>
      <c r="P306" s="209">
        <v>0.96583144426907119</v>
      </c>
      <c r="Q306" s="202">
        <v>912.45800065594608</v>
      </c>
      <c r="R306" s="202" t="e">
        <v>#N/A</v>
      </c>
      <c r="T306" s="135" t="s">
        <v>143</v>
      </c>
      <c r="U306" s="209">
        <v>0.96229691351243396</v>
      </c>
      <c r="V306" s="202">
        <v>1057.8394145385671</v>
      </c>
      <c r="W306" s="202" t="e">
        <v>#N/A</v>
      </c>
      <c r="Y306" s="135" t="s">
        <v>143</v>
      </c>
      <c r="Z306" s="209">
        <v>0.95751623089903615</v>
      </c>
      <c r="AA306" s="202">
        <v>1269.5042156604534</v>
      </c>
      <c r="AB306" s="202" t="e">
        <v>#N/A</v>
      </c>
    </row>
    <row r="307" spans="15:28" s="104" customFormat="1" x14ac:dyDescent="0.35">
      <c r="O307" s="338" t="s">
        <v>145</v>
      </c>
      <c r="P307" s="202">
        <v>14.133337268844752</v>
      </c>
      <c r="Q307" s="202">
        <v>1</v>
      </c>
      <c r="R307" s="202" t="e">
        <v>#N/A</v>
      </c>
      <c r="T307" s="338" t="s">
        <v>145</v>
      </c>
      <c r="U307" s="202">
        <v>12.761513753387064</v>
      </c>
      <c r="V307" s="202">
        <v>1</v>
      </c>
      <c r="W307" s="202" t="e">
        <v>#N/A</v>
      </c>
      <c r="Y307" s="338" t="s">
        <v>145</v>
      </c>
      <c r="Z307" s="202">
        <v>11.269200581326393</v>
      </c>
      <c r="AA307" s="202">
        <v>1</v>
      </c>
      <c r="AB307" s="202" t="e">
        <v>#N/A</v>
      </c>
    </row>
    <row r="308" spans="15:28" s="104" customFormat="1" x14ac:dyDescent="0.35">
      <c r="O308" s="339"/>
      <c r="P308" s="202">
        <v>23534256.66361865</v>
      </c>
      <c r="Q308" s="202">
        <v>832579.6029610465</v>
      </c>
      <c r="R308" s="202" t="e">
        <v>#N/A</v>
      </c>
      <c r="T308" s="339"/>
      <c r="U308" s="202">
        <v>28560886.125224642</v>
      </c>
      <c r="V308" s="202">
        <v>1119024.2269512983</v>
      </c>
      <c r="W308" s="202" t="e">
        <v>#N/A</v>
      </c>
      <c r="Y308" s="339"/>
      <c r="Z308" s="202">
        <v>36323810.341938719</v>
      </c>
      <c r="AA308" s="202">
        <v>1611640.9535796628</v>
      </c>
      <c r="AB308" s="202" t="e">
        <v>#N/A</v>
      </c>
    </row>
    <row r="309" spans="15:28" s="104" customFormat="1" x14ac:dyDescent="0.35">
      <c r="O309" s="339"/>
      <c r="P309" s="202" t="e">
        <v>#N/A</v>
      </c>
      <c r="Q309" s="202" t="e">
        <v>#N/A</v>
      </c>
      <c r="R309" s="202" t="e">
        <v>#N/A</v>
      </c>
      <c r="T309" s="339"/>
      <c r="U309" s="202" t="e">
        <v>#N/A</v>
      </c>
      <c r="V309" s="202" t="e">
        <v>#N/A</v>
      </c>
      <c r="W309" s="202" t="e">
        <v>#N/A</v>
      </c>
      <c r="Y309" s="339"/>
      <c r="Z309" s="202" t="e">
        <v>#N/A</v>
      </c>
      <c r="AA309" s="202" t="e">
        <v>#N/A</v>
      </c>
      <c r="AB309" s="202" t="e">
        <v>#N/A</v>
      </c>
    </row>
    <row r="310" spans="15:28" s="104" customFormat="1" x14ac:dyDescent="0.35">
      <c r="O310" s="339"/>
      <c r="P310" s="202" t="e">
        <v>#N/A</v>
      </c>
      <c r="Q310" s="202" t="e">
        <v>#N/A</v>
      </c>
      <c r="R310" s="202" t="e">
        <v>#N/A</v>
      </c>
      <c r="T310" s="339"/>
      <c r="U310" s="202" t="e">
        <v>#N/A</v>
      </c>
      <c r="V310" s="202" t="e">
        <v>#N/A</v>
      </c>
      <c r="W310" s="202" t="e">
        <v>#N/A</v>
      </c>
      <c r="Y310" s="339"/>
      <c r="Z310" s="202" t="e">
        <v>#N/A</v>
      </c>
      <c r="AA310" s="202" t="e">
        <v>#N/A</v>
      </c>
      <c r="AB310" s="202" t="e">
        <v>#N/A</v>
      </c>
    </row>
    <row r="311" spans="15:28" s="104" customFormat="1" x14ac:dyDescent="0.35">
      <c r="O311" s="340"/>
      <c r="P311" s="202" t="e">
        <v>#N/A</v>
      </c>
      <c r="Q311" s="202" t="e">
        <v>#N/A</v>
      </c>
      <c r="R311" s="202" t="e">
        <v>#N/A</v>
      </c>
      <c r="T311" s="340"/>
      <c r="U311" s="202" t="e">
        <v>#N/A</v>
      </c>
      <c r="V311" s="202" t="e">
        <v>#N/A</v>
      </c>
      <c r="W311" s="202" t="e">
        <v>#N/A</v>
      </c>
      <c r="Y311" s="340"/>
      <c r="Z311" s="202" t="e">
        <v>#N/A</v>
      </c>
      <c r="AA311" s="202" t="e">
        <v>#N/A</v>
      </c>
      <c r="AB311" s="202" t="e">
        <v>#N/A</v>
      </c>
    </row>
    <row r="313" spans="15:28" s="104" customFormat="1" ht="18.75" x14ac:dyDescent="0.35">
      <c r="Q313" s="210" t="s">
        <v>142</v>
      </c>
      <c r="R313" s="204"/>
      <c r="V313" s="210" t="s">
        <v>142</v>
      </c>
      <c r="W313" s="204"/>
      <c r="AA313" s="210" t="s">
        <v>142</v>
      </c>
      <c r="AB313" s="204"/>
    </row>
    <row r="314" spans="15:28" s="104" customFormat="1" x14ac:dyDescent="0.35">
      <c r="P314" s="205" t="str">
        <f>+M272</f>
        <v>Q1000</v>
      </c>
      <c r="U314" s="205" t="str">
        <f>+N272</f>
        <v>Q5000</v>
      </c>
      <c r="Z314" s="205" t="str">
        <f>+O272</f>
        <v>Q10000</v>
      </c>
    </row>
    <row r="315" spans="15:28" s="104" customFormat="1" x14ac:dyDescent="0.35">
      <c r="O315" s="197"/>
      <c r="P315" s="203" t="s">
        <v>139</v>
      </c>
      <c r="Q315" s="203" t="s">
        <v>140</v>
      </c>
      <c r="R315" s="203" t="s">
        <v>141</v>
      </c>
      <c r="T315" s="197"/>
      <c r="U315" s="203" t="s">
        <v>139</v>
      </c>
      <c r="V315" s="203" t="s">
        <v>140</v>
      </c>
      <c r="W315" s="203" t="s">
        <v>141</v>
      </c>
      <c r="Y315" s="197"/>
      <c r="Z315" s="203" t="s">
        <v>139</v>
      </c>
      <c r="AA315" s="203" t="s">
        <v>140</v>
      </c>
      <c r="AB315" s="203" t="s">
        <v>141</v>
      </c>
    </row>
    <row r="316" spans="15:28" s="104" customFormat="1" x14ac:dyDescent="0.35">
      <c r="O316" s="135" t="s">
        <v>144</v>
      </c>
      <c r="P316" s="206">
        <f t="array" ref="P316:R323">LINEST(M274:M277,C274:C277^{1,2},TRUE,TRUE)</f>
        <v>2.2513544715069728E-4</v>
      </c>
      <c r="Q316" s="207">
        <v>-3.6248783182332698</v>
      </c>
      <c r="R316" s="207">
        <v>1650.5285771506169</v>
      </c>
      <c r="T316" s="135" t="s">
        <v>144</v>
      </c>
      <c r="U316" s="206">
        <f t="array" ref="U316:W323">LINEST(N274:N277,C274:C277^{1,2},TRUE,TRUE)</f>
        <v>2.8304281302904654E-4</v>
      </c>
      <c r="V316" s="207">
        <v>-4.5819021432284366</v>
      </c>
      <c r="W316" s="207">
        <v>2135.622310912906</v>
      </c>
      <c r="Y316" s="135" t="s">
        <v>144</v>
      </c>
      <c r="Z316" s="206">
        <f t="array" ref="Z316:AB323">LINEST(O274:O277,C274:C277^{1,2},TRUE,TRUE)</f>
        <v>3.1052197219574835E-4</v>
      </c>
      <c r="AA316" s="207">
        <v>-5.0371305666422144</v>
      </c>
      <c r="AB316" s="207">
        <v>2371.5948336203801</v>
      </c>
    </row>
    <row r="317" spans="15:28" s="104" customFormat="1" x14ac:dyDescent="0.35">
      <c r="O317" s="135" t="s">
        <v>145</v>
      </c>
      <c r="P317" s="201">
        <v>8.2618067189227232E-5</v>
      </c>
      <c r="Q317" s="202">
        <v>1.4470088482859087</v>
      </c>
      <c r="R317" s="202">
        <v>1121.4392484374794</v>
      </c>
      <c r="T317" s="135" t="s">
        <v>145</v>
      </c>
      <c r="U317" s="201">
        <v>1.0959406920403432E-4</v>
      </c>
      <c r="V317" s="202">
        <v>1.9194783084755334</v>
      </c>
      <c r="W317" s="202">
        <v>1487.6054933587618</v>
      </c>
      <c r="Y317" s="135" t="s">
        <v>145</v>
      </c>
      <c r="Z317" s="201">
        <v>1.2293592752459054E-4</v>
      </c>
      <c r="AA317" s="202">
        <v>2.1531534318381285</v>
      </c>
      <c r="AB317" s="202">
        <v>1668.7049075280295</v>
      </c>
    </row>
    <row r="318" spans="15:28" s="104" customFormat="1" ht="18.75" x14ac:dyDescent="0.35">
      <c r="O318" s="135" t="s">
        <v>143</v>
      </c>
      <c r="P318" s="209">
        <v>0.95379445124908568</v>
      </c>
      <c r="Q318" s="202">
        <v>1446.0090990605099</v>
      </c>
      <c r="R318" s="202" t="e">
        <v>#N/A</v>
      </c>
      <c r="T318" s="135" t="s">
        <v>143</v>
      </c>
      <c r="U318" s="209">
        <v>0.94472940660669069</v>
      </c>
      <c r="V318" s="202">
        <v>1918.1521265697756</v>
      </c>
      <c r="W318" s="202" t="e">
        <v>#N/A</v>
      </c>
      <c r="Y318" s="135" t="s">
        <v>143</v>
      </c>
      <c r="Z318" s="209">
        <v>0.94062184022151218</v>
      </c>
      <c r="AA318" s="202">
        <v>2151.665802043608</v>
      </c>
      <c r="AB318" s="202" t="e">
        <v>#N/A</v>
      </c>
    </row>
    <row r="319" spans="15:28" s="104" customFormat="1" x14ac:dyDescent="0.35">
      <c r="O319" s="338" t="s">
        <v>145</v>
      </c>
      <c r="P319" s="202">
        <v>10.321211164386524</v>
      </c>
      <c r="Q319" s="202">
        <v>1</v>
      </c>
      <c r="R319" s="202" t="e">
        <v>#N/A</v>
      </c>
      <c r="T319" s="338" t="s">
        <v>145</v>
      </c>
      <c r="U319" s="202">
        <v>8.5464018803265862</v>
      </c>
      <c r="V319" s="202">
        <v>1</v>
      </c>
      <c r="W319" s="202" t="e">
        <v>#N/A</v>
      </c>
      <c r="Y319" s="338" t="s">
        <v>145</v>
      </c>
      <c r="Z319" s="202">
        <v>7.9206045095581743</v>
      </c>
      <c r="AA319" s="202">
        <v>1</v>
      </c>
      <c r="AB319" s="202" t="e">
        <v>#N/A</v>
      </c>
    </row>
    <row r="320" spans="15:28" s="104" customFormat="1" x14ac:dyDescent="0.35">
      <c r="O320" s="339"/>
      <c r="P320" s="202">
        <v>43162114.32236921</v>
      </c>
      <c r="Q320" s="202">
        <v>2090942.3145657876</v>
      </c>
      <c r="R320" s="202" t="e">
        <v>#N/A</v>
      </c>
      <c r="T320" s="339"/>
      <c r="U320" s="202">
        <v>62889682.451375961</v>
      </c>
      <c r="V320" s="202">
        <v>3679307.5806641527</v>
      </c>
      <c r="W320" s="202" t="e">
        <v>#N/A</v>
      </c>
      <c r="Y320" s="339"/>
      <c r="Z320" s="202">
        <v>73339502.417516202</v>
      </c>
      <c r="AA320" s="202">
        <v>4629665.7236839626</v>
      </c>
      <c r="AB320" s="202" t="e">
        <v>#N/A</v>
      </c>
    </row>
    <row r="321" spans="15:28" s="104" customFormat="1" x14ac:dyDescent="0.35">
      <c r="O321" s="339"/>
      <c r="P321" s="202" t="e">
        <v>#N/A</v>
      </c>
      <c r="Q321" s="202" t="e">
        <v>#N/A</v>
      </c>
      <c r="R321" s="202" t="e">
        <v>#N/A</v>
      </c>
      <c r="T321" s="339"/>
      <c r="U321" s="202" t="e">
        <v>#N/A</v>
      </c>
      <c r="V321" s="202" t="e">
        <v>#N/A</v>
      </c>
      <c r="W321" s="202" t="e">
        <v>#N/A</v>
      </c>
      <c r="Y321" s="339"/>
      <c r="Z321" s="202" t="e">
        <v>#N/A</v>
      </c>
      <c r="AA321" s="202" t="e">
        <v>#N/A</v>
      </c>
      <c r="AB321" s="202" t="e">
        <v>#N/A</v>
      </c>
    </row>
    <row r="322" spans="15:28" s="104" customFormat="1" x14ac:dyDescent="0.35">
      <c r="O322" s="339"/>
      <c r="P322" s="202" t="e">
        <v>#N/A</v>
      </c>
      <c r="Q322" s="202" t="e">
        <v>#N/A</v>
      </c>
      <c r="R322" s="202" t="e">
        <v>#N/A</v>
      </c>
      <c r="T322" s="339"/>
      <c r="U322" s="202" t="e">
        <v>#N/A</v>
      </c>
      <c r="V322" s="202" t="e">
        <v>#N/A</v>
      </c>
      <c r="W322" s="202" t="e">
        <v>#N/A</v>
      </c>
      <c r="Y322" s="339"/>
      <c r="Z322" s="202" t="e">
        <v>#N/A</v>
      </c>
      <c r="AA322" s="202" t="e">
        <v>#N/A</v>
      </c>
      <c r="AB322" s="202" t="e">
        <v>#N/A</v>
      </c>
    </row>
    <row r="323" spans="15:28" s="104" customFormat="1" x14ac:dyDescent="0.35">
      <c r="O323" s="340"/>
      <c r="P323" s="202" t="e">
        <v>#N/A</v>
      </c>
      <c r="Q323" s="202" t="e">
        <v>#N/A</v>
      </c>
      <c r="R323" s="202" t="e">
        <v>#N/A</v>
      </c>
      <c r="T323" s="340"/>
      <c r="U323" s="202" t="e">
        <v>#N/A</v>
      </c>
      <c r="V323" s="202" t="e">
        <v>#N/A</v>
      </c>
      <c r="W323" s="202" t="e">
        <v>#N/A</v>
      </c>
      <c r="Y323" s="340"/>
      <c r="Z323" s="202" t="e">
        <v>#N/A</v>
      </c>
      <c r="AA323" s="202" t="e">
        <v>#N/A</v>
      </c>
      <c r="AB323" s="202" t="e">
        <v>#N/A</v>
      </c>
    </row>
    <row r="351" spans="12:12" x14ac:dyDescent="0.35">
      <c r="L351" s="111" t="s">
        <v>230</v>
      </c>
    </row>
  </sheetData>
  <mergeCells count="47">
    <mergeCell ref="P263:P264"/>
    <mergeCell ref="T319:T323"/>
    <mergeCell ref="Y319:Y323"/>
    <mergeCell ref="B150:N150"/>
    <mergeCell ref="B128:N128"/>
    <mergeCell ref="F263:F264"/>
    <mergeCell ref="G263:G264"/>
    <mergeCell ref="H263:H264"/>
    <mergeCell ref="I263:I264"/>
    <mergeCell ref="B196:N196"/>
    <mergeCell ref="B173:N173"/>
    <mergeCell ref="O283:O287"/>
    <mergeCell ref="O295:O299"/>
    <mergeCell ref="O307:O311"/>
    <mergeCell ref="O319:O323"/>
    <mergeCell ref="Y307:Y311"/>
    <mergeCell ref="D271:O271"/>
    <mergeCell ref="O263:O264"/>
    <mergeCell ref="N263:N264"/>
    <mergeCell ref="A173:A174"/>
    <mergeCell ref="A196:A197"/>
    <mergeCell ref="B263:D263"/>
    <mergeCell ref="E263:E264"/>
    <mergeCell ref="A223:A224"/>
    <mergeCell ref="B223:N223"/>
    <mergeCell ref="A1:M1"/>
    <mergeCell ref="A2:M2"/>
    <mergeCell ref="A11:A12"/>
    <mergeCell ref="B11:L11"/>
    <mergeCell ref="A57:A58"/>
    <mergeCell ref="B57:N57"/>
    <mergeCell ref="T307:T311"/>
    <mergeCell ref="A82:A83"/>
    <mergeCell ref="A105:A106"/>
    <mergeCell ref="A128:A129"/>
    <mergeCell ref="Y283:Y287"/>
    <mergeCell ref="Y295:Y299"/>
    <mergeCell ref="T283:T287"/>
    <mergeCell ref="T295:T299"/>
    <mergeCell ref="B105:N105"/>
    <mergeCell ref="B82:N82"/>
    <mergeCell ref="B272:C272"/>
    <mergeCell ref="A272:A273"/>
    <mergeCell ref="J263:J264"/>
    <mergeCell ref="K263:K264"/>
    <mergeCell ref="L263:L264"/>
    <mergeCell ref="M263:M264"/>
  </mergeCells>
  <pageMargins left="0.7" right="0.7" top="0.75" bottom="0.75" header="0.3" footer="0.3"/>
  <pageSetup paperSize="9" scale="42" orientation="portrait" r:id="rId1"/>
  <colBreaks count="2" manualBreakCount="2">
    <brk id="12" max="49" man="1"/>
    <brk id="30" max="49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/>
  <dimension ref="A1:H12"/>
  <sheetViews>
    <sheetView zoomScale="130" zoomScaleNormal="130" workbookViewId="0">
      <selection activeCell="F7" sqref="A1:H7"/>
    </sheetView>
  </sheetViews>
  <sheetFormatPr defaultRowHeight="17.25" x14ac:dyDescent="0.35"/>
  <cols>
    <col min="1" max="1" width="9.140625" style="104"/>
    <col min="2" max="2" width="18" style="104" customWidth="1"/>
    <col min="3" max="3" width="8.28515625" style="104" customWidth="1"/>
    <col min="4" max="4" width="12.5703125" style="104" customWidth="1"/>
    <col min="5" max="5" width="15.85546875" style="104" customWidth="1"/>
    <col min="6" max="6" width="19" style="104" customWidth="1"/>
    <col min="7" max="7" width="14.85546875" style="104" customWidth="1"/>
    <col min="8" max="8" width="13.28515625" style="104" customWidth="1"/>
    <col min="9" max="16384" width="9.140625" style="104"/>
  </cols>
  <sheetData>
    <row r="1" spans="1:8" ht="59.25" customHeight="1" x14ac:dyDescent="0.35">
      <c r="A1" s="128" t="s">
        <v>92</v>
      </c>
      <c r="B1" s="130" t="s">
        <v>220</v>
      </c>
      <c r="C1" s="211" t="s">
        <v>93</v>
      </c>
      <c r="D1" s="211" t="s">
        <v>219</v>
      </c>
      <c r="E1" s="211" t="s">
        <v>96</v>
      </c>
      <c r="F1" s="211" t="s">
        <v>97</v>
      </c>
      <c r="G1" s="211" t="s">
        <v>94</v>
      </c>
      <c r="H1" s="211" t="s">
        <v>98</v>
      </c>
    </row>
    <row r="2" spans="1:8" x14ac:dyDescent="0.35">
      <c r="A2" s="131">
        <v>1</v>
      </c>
      <c r="B2" s="132" t="s">
        <v>254</v>
      </c>
      <c r="C2" s="133" t="s">
        <v>73</v>
      </c>
      <c r="D2" s="182">
        <v>160.79</v>
      </c>
      <c r="E2" s="187">
        <f>1-F2-G2</f>
        <v>0.10019279805958081</v>
      </c>
      <c r="F2" s="188">
        <f>99.17/D2</f>
        <v>0.6167672118912868</v>
      </c>
      <c r="G2" s="188">
        <f>45.51/D2</f>
        <v>0.28303999004913238</v>
      </c>
      <c r="H2" s="134">
        <v>115.28</v>
      </c>
    </row>
    <row r="3" spans="1:8" x14ac:dyDescent="0.35">
      <c r="A3" s="131">
        <v>2</v>
      </c>
      <c r="B3" s="132" t="s">
        <v>256</v>
      </c>
      <c r="C3" s="133" t="s">
        <v>73</v>
      </c>
      <c r="D3" s="182">
        <v>27542.558891000001</v>
      </c>
      <c r="E3" s="187">
        <f>701.04/D3</f>
        <v>2.5452972716673638E-2</v>
      </c>
      <c r="F3" s="188">
        <f>16099.27/D3</f>
        <v>0.58452339391241936</v>
      </c>
      <c r="G3" s="188">
        <f>10742.45/D3</f>
        <v>0.39003093512528636</v>
      </c>
      <c r="H3" s="134">
        <f>701.04+16099.27</f>
        <v>16800.310000000001</v>
      </c>
    </row>
    <row r="4" spans="1:8" x14ac:dyDescent="0.35">
      <c r="A4" s="131">
        <v>3</v>
      </c>
      <c r="B4" s="135" t="s">
        <v>255</v>
      </c>
      <c r="C4" s="133">
        <v>600.1</v>
      </c>
      <c r="D4" s="134">
        <v>27090.762891999999</v>
      </c>
      <c r="E4" s="176">
        <f>438.45/D4</f>
        <v>1.6184483314402191E-2</v>
      </c>
      <c r="F4" s="176">
        <f>15957.75/D4</f>
        <v>0.58904764194412484</v>
      </c>
      <c r="G4" s="176">
        <f>10694.56/D4</f>
        <v>0.39476776798921903</v>
      </c>
      <c r="H4" s="134">
        <v>16396.2</v>
      </c>
    </row>
    <row r="5" spans="1:8" x14ac:dyDescent="0.35">
      <c r="A5" s="131">
        <v>4</v>
      </c>
      <c r="B5" s="132" t="s">
        <v>241</v>
      </c>
      <c r="C5" s="133">
        <v>602</v>
      </c>
      <c r="D5" s="135">
        <v>391.36</v>
      </c>
      <c r="E5" s="187">
        <f>361.15/D5</f>
        <v>0.92280764513491409</v>
      </c>
      <c r="F5" s="188">
        <f>30.2/D5</f>
        <v>7.7166802943581358E-2</v>
      </c>
      <c r="G5" s="188">
        <v>0</v>
      </c>
      <c r="H5" s="135">
        <v>391.36</v>
      </c>
    </row>
    <row r="6" spans="1:8" x14ac:dyDescent="0.35">
      <c r="A6" s="131">
        <v>5</v>
      </c>
      <c r="B6" s="135" t="s">
        <v>251</v>
      </c>
      <c r="C6" s="133">
        <v>602.5</v>
      </c>
      <c r="D6" s="134">
        <v>148.13999999999999</v>
      </c>
      <c r="E6" s="175">
        <f>142.26/D6</f>
        <v>0.96030781692993117</v>
      </c>
      <c r="F6" s="175">
        <f>5.88/D6</f>
        <v>3.9692183070068859E-2</v>
      </c>
      <c r="G6" s="175">
        <v>0</v>
      </c>
      <c r="H6" s="134">
        <v>148.13999999999999</v>
      </c>
    </row>
    <row r="7" spans="1:8" x14ac:dyDescent="0.35">
      <c r="A7" s="131">
        <v>6</v>
      </c>
      <c r="B7" s="135" t="s">
        <v>249</v>
      </c>
      <c r="C7" s="133">
        <v>604.5</v>
      </c>
      <c r="D7" s="134">
        <v>28601.893849</v>
      </c>
      <c r="E7" s="176">
        <f>1467.3/D7</f>
        <v>5.1300798742433651E-2</v>
      </c>
      <c r="F7" s="176">
        <f>16382.4/D7</f>
        <v>0.57277326062703271</v>
      </c>
      <c r="G7" s="175">
        <f>10752.2/D7</f>
        <v>0.37592615568622312</v>
      </c>
      <c r="H7" s="134">
        <v>17849.7</v>
      </c>
    </row>
    <row r="9" spans="1:8" x14ac:dyDescent="0.35">
      <c r="A9" s="150"/>
      <c r="B9" s="143"/>
      <c r="C9" s="288"/>
      <c r="D9" s="143"/>
      <c r="E9" s="289"/>
      <c r="F9" s="290"/>
      <c r="G9" s="290"/>
      <c r="H9" s="143"/>
    </row>
    <row r="10" spans="1:8" x14ac:dyDescent="0.35">
      <c r="A10" s="270"/>
    </row>
    <row r="12" spans="1:8" x14ac:dyDescent="0.35">
      <c r="A12" s="271"/>
      <c r="B12" s="2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6" tint="-0.499984740745262"/>
  </sheetPr>
  <dimension ref="A1:P119"/>
  <sheetViews>
    <sheetView view="pageBreakPreview" topLeftCell="A41" zoomScale="115" zoomScaleNormal="100" zoomScaleSheetLayoutView="115" workbookViewId="0">
      <selection activeCell="F71" sqref="F71"/>
    </sheetView>
  </sheetViews>
  <sheetFormatPr defaultRowHeight="13.5" x14ac:dyDescent="0.3"/>
  <cols>
    <col min="1" max="1" width="23.85546875" style="29" bestFit="1" customWidth="1"/>
    <col min="2" max="2" width="12.28515625" style="29" customWidth="1"/>
    <col min="3" max="3" width="10.7109375" style="29" customWidth="1"/>
    <col min="4" max="4" width="13" style="29" customWidth="1"/>
    <col min="5" max="5" width="6.5703125" style="29" bestFit="1" customWidth="1"/>
    <col min="6" max="6" width="13.5703125" style="29" customWidth="1"/>
    <col min="7" max="7" width="8.42578125" style="29" customWidth="1"/>
    <col min="8" max="8" width="7.140625" style="29" customWidth="1"/>
    <col min="9" max="9" width="12" style="29" customWidth="1"/>
    <col min="10" max="10" width="9" style="29" customWidth="1"/>
    <col min="11" max="11" width="12.85546875" style="29" customWidth="1"/>
    <col min="12" max="12" width="8.85546875" style="29" customWidth="1"/>
    <col min="13" max="16384" width="9.140625" style="29"/>
  </cols>
  <sheetData>
    <row r="1" spans="1:16" ht="12.75" customHeight="1" x14ac:dyDescent="0.3">
      <c r="A1" s="61" t="s">
        <v>44</v>
      </c>
      <c r="B1" s="61"/>
      <c r="E1" s="28" t="s">
        <v>233</v>
      </c>
      <c r="F1" s="28"/>
      <c r="M1" s="61"/>
      <c r="N1" s="61"/>
      <c r="O1" s="61"/>
      <c r="P1" s="61"/>
    </row>
    <row r="2" spans="1:16" ht="12.75" customHeight="1" x14ac:dyDescent="0.3">
      <c r="A2" s="61" t="s">
        <v>63</v>
      </c>
      <c r="B2" s="61"/>
      <c r="E2" s="28" t="s">
        <v>134</v>
      </c>
      <c r="F2" s="28"/>
      <c r="M2" s="61"/>
      <c r="N2" s="61"/>
      <c r="O2" s="61"/>
      <c r="P2" s="61"/>
    </row>
    <row r="3" spans="1:16" ht="12.75" customHeight="1" x14ac:dyDescent="0.3">
      <c r="A3" s="26" t="s">
        <v>11</v>
      </c>
      <c r="B3" s="27" t="s">
        <v>240</v>
      </c>
      <c r="C3" s="26"/>
      <c r="D3" s="28"/>
      <c r="E3" s="28" t="s">
        <v>51</v>
      </c>
      <c r="M3" s="61"/>
      <c r="N3" s="61"/>
      <c r="O3" s="61"/>
      <c r="P3" s="61"/>
    </row>
    <row r="4" spans="1:16" ht="12.75" customHeight="1" x14ac:dyDescent="0.3">
      <c r="A4" s="26" t="s">
        <v>12</v>
      </c>
      <c r="B4" s="26" t="s">
        <v>45</v>
      </c>
      <c r="C4" s="26"/>
      <c r="D4" s="28"/>
      <c r="E4" s="28"/>
      <c r="M4" s="61"/>
      <c r="N4" s="61"/>
      <c r="O4" s="61"/>
      <c r="P4" s="61"/>
    </row>
    <row r="5" spans="1:16" ht="12.75" customHeight="1" x14ac:dyDescent="0.3">
      <c r="A5" s="26" t="s">
        <v>13</v>
      </c>
      <c r="B5" s="25">
        <v>44547</v>
      </c>
      <c r="C5" s="31"/>
      <c r="D5" s="28"/>
      <c r="E5" s="28"/>
      <c r="M5" s="61"/>
      <c r="N5" s="61"/>
      <c r="O5" s="61"/>
      <c r="P5" s="61"/>
    </row>
    <row r="6" spans="1:16" ht="12.75" customHeight="1" x14ac:dyDescent="0.3">
      <c r="A6" s="26" t="s">
        <v>42</v>
      </c>
      <c r="B6" s="25"/>
      <c r="C6" s="32" t="s">
        <v>241</v>
      </c>
      <c r="D6" s="28"/>
      <c r="E6" s="28"/>
      <c r="L6" s="30"/>
      <c r="M6" s="61"/>
      <c r="N6" s="61"/>
      <c r="O6" s="61"/>
      <c r="P6" s="61"/>
    </row>
    <row r="7" spans="1:16" ht="12.75" customHeight="1" x14ac:dyDescent="0.35">
      <c r="A7" s="26" t="s">
        <v>243</v>
      </c>
      <c r="B7" s="26"/>
      <c r="C7" s="67">
        <v>602</v>
      </c>
      <c r="D7" s="26"/>
      <c r="E7" s="26"/>
      <c r="F7" s="23"/>
      <c r="G7" s="23"/>
      <c r="L7" s="30"/>
      <c r="M7" s="61"/>
      <c r="N7" s="61"/>
      <c r="O7" s="61"/>
      <c r="P7" s="61"/>
    </row>
    <row r="8" spans="1:16" ht="12.75" customHeight="1" x14ac:dyDescent="0.35">
      <c r="A8" s="26" t="s">
        <v>47</v>
      </c>
      <c r="B8" s="26"/>
      <c r="C8" s="305" t="s">
        <v>242</v>
      </c>
      <c r="D8" s="26"/>
      <c r="E8" s="26"/>
      <c r="F8" s="23"/>
      <c r="G8" s="23"/>
      <c r="L8" s="30"/>
      <c r="M8" s="61"/>
      <c r="N8" s="61"/>
      <c r="O8" s="61"/>
      <c r="P8" s="61"/>
    </row>
    <row r="9" spans="1:16" ht="15" x14ac:dyDescent="0.3">
      <c r="A9" s="363" t="s">
        <v>14</v>
      </c>
      <c r="B9" s="363"/>
      <c r="C9" s="363"/>
    </row>
    <row r="10" spans="1:16" ht="15" x14ac:dyDescent="0.3">
      <c r="A10" s="34" t="s">
        <v>15</v>
      </c>
      <c r="B10" s="361" t="s">
        <v>16</v>
      </c>
      <c r="C10" s="362"/>
    </row>
    <row r="11" spans="1:16" ht="15" x14ac:dyDescent="0.3">
      <c r="A11" s="33"/>
      <c r="B11" s="34" t="s">
        <v>17</v>
      </c>
      <c r="C11" s="33" t="s">
        <v>18</v>
      </c>
    </row>
    <row r="12" spans="1:16" ht="15" x14ac:dyDescent="0.3">
      <c r="A12" s="80">
        <v>1974</v>
      </c>
      <c r="B12" s="81">
        <f>'Extreme data'!C21</f>
        <v>210</v>
      </c>
      <c r="C12" s="82">
        <f>IF(B12="","",LOG(B12))</f>
        <v>2.3222192947339191</v>
      </c>
      <c r="F12" s="52"/>
      <c r="G12" s="68"/>
    </row>
    <row r="13" spans="1:16" ht="15" x14ac:dyDescent="0.3">
      <c r="A13" s="80">
        <v>1975</v>
      </c>
      <c r="B13" s="81">
        <f>'Extreme data'!C22</f>
        <v>360</v>
      </c>
      <c r="C13" s="82">
        <f t="shared" ref="C13:C53" si="0">IF(B13="","",LOG(B13))</f>
        <v>2.5563025007672873</v>
      </c>
      <c r="F13" s="52"/>
      <c r="G13" s="68"/>
      <c r="L13" s="30"/>
    </row>
    <row r="14" spans="1:16" ht="15" x14ac:dyDescent="0.3">
      <c r="A14" s="80">
        <v>1976</v>
      </c>
      <c r="B14" s="81">
        <f>'Extreme data'!C23</f>
        <v>222</v>
      </c>
      <c r="C14" s="82">
        <f t="shared" si="0"/>
        <v>2.3463529744506388</v>
      </c>
      <c r="F14" s="52"/>
      <c r="G14" s="68"/>
      <c r="L14" s="30"/>
    </row>
    <row r="15" spans="1:16" ht="15" x14ac:dyDescent="0.3">
      <c r="A15" s="80">
        <v>1977</v>
      </c>
      <c r="B15" s="81">
        <f>'Extreme data'!C24</f>
        <v>154</v>
      </c>
      <c r="C15" s="82">
        <f t="shared" si="0"/>
        <v>2.1875207208364631</v>
      </c>
      <c r="F15" s="52"/>
      <c r="G15" s="68"/>
      <c r="L15" s="30"/>
    </row>
    <row r="16" spans="1:16" ht="15" x14ac:dyDescent="0.3">
      <c r="A16" s="80">
        <v>1978</v>
      </c>
      <c r="B16" s="306">
        <f>'Extreme data'!C25</f>
        <v>343</v>
      </c>
      <c r="C16" s="82">
        <f t="shared" si="0"/>
        <v>2.5352941200427703</v>
      </c>
      <c r="F16" s="52"/>
      <c r="G16" s="68"/>
    </row>
    <row r="17" spans="1:7" ht="15" x14ac:dyDescent="0.3">
      <c r="A17" s="80">
        <v>1979</v>
      </c>
      <c r="B17" s="81">
        <f>'Extreme data'!C26</f>
        <v>532</v>
      </c>
      <c r="C17" s="82">
        <f t="shared" si="0"/>
        <v>2.7259116322950483</v>
      </c>
      <c r="F17" s="52"/>
      <c r="G17" s="68"/>
    </row>
    <row r="18" spans="1:7" ht="15" x14ac:dyDescent="0.3">
      <c r="A18" s="80">
        <v>1980</v>
      </c>
      <c r="B18" s="306">
        <f>'Extreme data'!C27</f>
        <v>373.5</v>
      </c>
      <c r="C18" s="82">
        <f t="shared" si="0"/>
        <v>2.5722906061514177</v>
      </c>
      <c r="F18" s="52"/>
      <c r="G18" s="68"/>
    </row>
    <row r="19" spans="1:7" ht="15" x14ac:dyDescent="0.3">
      <c r="A19" s="80">
        <v>1981</v>
      </c>
      <c r="B19" s="81">
        <f>'Extreme data'!C28</f>
        <v>215</v>
      </c>
      <c r="C19" s="82">
        <f t="shared" si="0"/>
        <v>2.3324384599156054</v>
      </c>
      <c r="F19" s="52"/>
      <c r="G19" s="68"/>
    </row>
    <row r="20" spans="1:7" ht="15" x14ac:dyDescent="0.3">
      <c r="A20" s="80">
        <v>1982</v>
      </c>
      <c r="B20" s="81">
        <f>'Extreme data'!C29</f>
        <v>489</v>
      </c>
      <c r="C20" s="82">
        <f t="shared" si="0"/>
        <v>2.6893088591236203</v>
      </c>
      <c r="F20" s="52"/>
      <c r="G20" s="68"/>
    </row>
    <row r="21" spans="1:7" ht="15" x14ac:dyDescent="0.3">
      <c r="A21" s="80">
        <v>1983</v>
      </c>
      <c r="B21" s="81">
        <f>'Extreme data'!C30</f>
        <v>694</v>
      </c>
      <c r="C21" s="82">
        <f t="shared" si="0"/>
        <v>2.8413594704548548</v>
      </c>
      <c r="F21" s="52"/>
      <c r="G21" s="68"/>
    </row>
    <row r="22" spans="1:7" ht="15" x14ac:dyDescent="0.3">
      <c r="A22" s="80">
        <v>1984</v>
      </c>
      <c r="B22" s="81">
        <f>'Extreme data'!C31</f>
        <v>131</v>
      </c>
      <c r="C22" s="82">
        <f t="shared" si="0"/>
        <v>2.1172712956557644</v>
      </c>
      <c r="F22" s="52"/>
      <c r="G22" s="68"/>
    </row>
    <row r="23" spans="1:7" ht="15" x14ac:dyDescent="0.3">
      <c r="A23" s="80">
        <v>1985</v>
      </c>
      <c r="B23" s="81">
        <f>'Extreme data'!C32</f>
        <v>222</v>
      </c>
      <c r="C23" s="82">
        <f t="shared" si="0"/>
        <v>2.3463529744506388</v>
      </c>
      <c r="F23" s="52"/>
      <c r="G23" s="68"/>
    </row>
    <row r="24" spans="1:7" ht="15" x14ac:dyDescent="0.3">
      <c r="A24" s="80">
        <v>1986</v>
      </c>
      <c r="B24" s="81">
        <f>'Extreme data'!C33</f>
        <v>108</v>
      </c>
      <c r="C24" s="82">
        <f t="shared" si="0"/>
        <v>2.0334237554869499</v>
      </c>
      <c r="F24" s="52"/>
      <c r="G24" s="68"/>
    </row>
    <row r="25" spans="1:7" ht="15" x14ac:dyDescent="0.3">
      <c r="A25" s="80">
        <v>1987</v>
      </c>
      <c r="B25" s="81">
        <f>'Extreme data'!C34</f>
        <v>459</v>
      </c>
      <c r="C25" s="82">
        <f t="shared" si="0"/>
        <v>2.661812685537261</v>
      </c>
      <c r="F25" s="52"/>
      <c r="G25" s="68"/>
    </row>
    <row r="26" spans="1:7" ht="15" x14ac:dyDescent="0.3">
      <c r="A26" s="80">
        <v>1988</v>
      </c>
      <c r="B26" s="81">
        <f>'Extreme data'!C35</f>
        <v>213</v>
      </c>
      <c r="C26" s="82">
        <f t="shared" si="0"/>
        <v>2.3283796034387376</v>
      </c>
      <c r="F26" s="52"/>
      <c r="G26" s="68"/>
    </row>
    <row r="27" spans="1:7" ht="15" x14ac:dyDescent="0.3">
      <c r="A27" s="80">
        <v>1989</v>
      </c>
      <c r="B27" s="81">
        <f>'Extreme data'!C36</f>
        <v>314</v>
      </c>
      <c r="C27" s="82">
        <f t="shared" si="0"/>
        <v>2.4969296480732148</v>
      </c>
      <c r="F27" s="52"/>
      <c r="G27" s="68"/>
    </row>
    <row r="28" spans="1:7" ht="15" x14ac:dyDescent="0.3">
      <c r="A28" s="80">
        <v>1990</v>
      </c>
      <c r="B28" s="306">
        <f>'Extreme data'!C37</f>
        <v>264.5</v>
      </c>
      <c r="C28" s="82">
        <f t="shared" si="0"/>
        <v>2.4224256763712044</v>
      </c>
      <c r="F28" s="52"/>
      <c r="G28" s="68"/>
    </row>
    <row r="29" spans="1:7" ht="15" x14ac:dyDescent="0.3">
      <c r="A29" s="80">
        <v>1991</v>
      </c>
      <c r="B29" s="81">
        <f>'Extreme data'!C38</f>
        <v>215</v>
      </c>
      <c r="C29" s="82">
        <f t="shared" si="0"/>
        <v>2.3324384599156054</v>
      </c>
      <c r="F29" s="52"/>
      <c r="G29" s="68"/>
    </row>
    <row r="30" spans="1:7" ht="15" x14ac:dyDescent="0.3">
      <c r="A30" s="80">
        <v>1992</v>
      </c>
      <c r="B30" s="81">
        <f>'Extreme data'!C39</f>
        <v>210</v>
      </c>
      <c r="C30" s="82">
        <f t="shared" si="0"/>
        <v>2.3222192947339191</v>
      </c>
      <c r="F30" s="52"/>
      <c r="G30" s="68"/>
    </row>
    <row r="31" spans="1:7" ht="15" x14ac:dyDescent="0.3">
      <c r="A31" s="80">
        <v>1993</v>
      </c>
      <c r="B31" s="81">
        <f>'Extreme data'!C40</f>
        <v>147</v>
      </c>
      <c r="C31" s="82">
        <f t="shared" si="0"/>
        <v>2.167317334748176</v>
      </c>
      <c r="F31" s="52"/>
      <c r="G31" s="68"/>
    </row>
    <row r="32" spans="1:7" ht="15" x14ac:dyDescent="0.3">
      <c r="A32" s="80">
        <v>1994</v>
      </c>
      <c r="B32" s="81">
        <f>'Extreme data'!C41</f>
        <v>274</v>
      </c>
      <c r="C32" s="82">
        <f t="shared" si="0"/>
        <v>2.4377505628203879</v>
      </c>
      <c r="F32" s="52"/>
      <c r="G32" s="68"/>
    </row>
    <row r="33" spans="1:7" ht="15" x14ac:dyDescent="0.3">
      <c r="A33" s="80">
        <v>1995</v>
      </c>
      <c r="B33" s="81">
        <f>'Extreme data'!C42</f>
        <v>129</v>
      </c>
      <c r="C33" s="82">
        <f t="shared" si="0"/>
        <v>2.1105897102992488</v>
      </c>
      <c r="F33" s="52"/>
      <c r="G33" s="68"/>
    </row>
    <row r="34" spans="1:7" ht="15" x14ac:dyDescent="0.3">
      <c r="A34" s="80">
        <v>1996</v>
      </c>
      <c r="B34" s="81">
        <f>'Extreme data'!C43</f>
        <v>340</v>
      </c>
      <c r="C34" s="82">
        <f t="shared" si="0"/>
        <v>2.5314789170422549</v>
      </c>
      <c r="F34" s="52"/>
      <c r="G34" s="68"/>
    </row>
    <row r="35" spans="1:7" ht="15" x14ac:dyDescent="0.3">
      <c r="A35" s="80">
        <v>1997</v>
      </c>
      <c r="B35" s="81">
        <f>'Extreme data'!C44</f>
        <v>108</v>
      </c>
      <c r="C35" s="82">
        <f>IF(B35="","",LOG(B35))</f>
        <v>2.0334237554869499</v>
      </c>
      <c r="F35" s="52"/>
      <c r="G35" s="68"/>
    </row>
    <row r="36" spans="1:7" ht="15" x14ac:dyDescent="0.3">
      <c r="A36" s="80">
        <v>1998</v>
      </c>
      <c r="B36" s="81">
        <f>'Extreme data'!C45</f>
        <v>98</v>
      </c>
      <c r="C36" s="82">
        <f t="shared" si="0"/>
        <v>1.9912260756924949</v>
      </c>
      <c r="F36" s="52"/>
      <c r="G36" s="68"/>
    </row>
    <row r="37" spans="1:7" ht="15" x14ac:dyDescent="0.3">
      <c r="A37" s="80">
        <v>1999</v>
      </c>
      <c r="B37" s="81">
        <f>'Extreme data'!C46</f>
        <v>139</v>
      </c>
      <c r="C37" s="82">
        <f t="shared" si="0"/>
        <v>2.143014800254095</v>
      </c>
      <c r="F37" s="52"/>
      <c r="G37" s="68"/>
    </row>
    <row r="38" spans="1:7" ht="15" x14ac:dyDescent="0.3">
      <c r="A38" s="80">
        <v>2000</v>
      </c>
      <c r="B38" s="81">
        <f>'Extreme data'!C47</f>
        <v>155</v>
      </c>
      <c r="C38" s="82">
        <f t="shared" si="0"/>
        <v>2.1903316981702914</v>
      </c>
      <c r="F38" s="52"/>
      <c r="G38" s="68"/>
    </row>
    <row r="39" spans="1:7" ht="15" x14ac:dyDescent="0.3">
      <c r="A39" s="80">
        <v>2001</v>
      </c>
      <c r="B39" s="81">
        <f>'Extreme data'!C48</f>
        <v>124</v>
      </c>
      <c r="C39" s="82">
        <f t="shared" si="0"/>
        <v>2.0934216851622351</v>
      </c>
      <c r="F39" s="52"/>
      <c r="G39" s="68"/>
    </row>
    <row r="40" spans="1:7" ht="15" x14ac:dyDescent="0.3">
      <c r="A40" s="80">
        <v>2002</v>
      </c>
      <c r="B40" s="81">
        <f>'Extreme data'!C49</f>
        <v>110</v>
      </c>
      <c r="C40" s="82">
        <f t="shared" si="0"/>
        <v>2.0413926851582249</v>
      </c>
      <c r="F40" s="52"/>
      <c r="G40" s="68"/>
    </row>
    <row r="41" spans="1:7" ht="15" x14ac:dyDescent="0.3">
      <c r="A41" s="80">
        <v>2003</v>
      </c>
      <c r="B41" s="81">
        <f>'Extreme data'!C50</f>
        <v>417</v>
      </c>
      <c r="C41" s="82">
        <f t="shared" si="0"/>
        <v>2.6201360549737576</v>
      </c>
      <c r="F41" s="52"/>
      <c r="G41" s="68"/>
    </row>
    <row r="42" spans="1:7" ht="15" x14ac:dyDescent="0.3">
      <c r="A42" s="80">
        <v>2004</v>
      </c>
      <c r="B42" s="81">
        <f>'Extreme data'!C51</f>
        <v>112</v>
      </c>
      <c r="C42" s="82">
        <f t="shared" si="0"/>
        <v>2.0492180226701815</v>
      </c>
      <c r="F42" s="52"/>
      <c r="G42" s="68"/>
    </row>
    <row r="43" spans="1:7" ht="15" x14ac:dyDescent="0.3">
      <c r="A43" s="80">
        <v>2005</v>
      </c>
      <c r="B43" s="81">
        <f>'Extreme data'!C52</f>
        <v>98</v>
      </c>
      <c r="C43" s="82">
        <f t="shared" si="0"/>
        <v>1.9912260756924949</v>
      </c>
      <c r="F43" s="52"/>
      <c r="G43" s="68"/>
    </row>
    <row r="44" spans="1:7" ht="15" x14ac:dyDescent="0.3">
      <c r="A44" s="80">
        <v>2006</v>
      </c>
      <c r="B44" s="81">
        <f>'Extreme data'!C53</f>
        <v>124</v>
      </c>
      <c r="C44" s="82">
        <f t="shared" si="0"/>
        <v>2.0934216851622351</v>
      </c>
      <c r="F44" s="52"/>
      <c r="G44" s="68"/>
    </row>
    <row r="45" spans="1:7" ht="15" x14ac:dyDescent="0.3">
      <c r="A45" s="80">
        <v>2007</v>
      </c>
      <c r="B45" s="81">
        <f>'Extreme data'!C54</f>
        <v>111</v>
      </c>
      <c r="C45" s="82">
        <f t="shared" si="0"/>
        <v>2.0453229787866576</v>
      </c>
      <c r="F45" s="52"/>
      <c r="G45" s="68"/>
    </row>
    <row r="46" spans="1:7" ht="15" x14ac:dyDescent="0.3">
      <c r="A46" s="80">
        <v>2008</v>
      </c>
      <c r="B46" s="81">
        <f>'Extreme data'!C55</f>
        <v>133</v>
      </c>
      <c r="C46" s="82">
        <f t="shared" si="0"/>
        <v>2.1238516409670858</v>
      </c>
      <c r="F46" s="52"/>
      <c r="G46" s="68"/>
    </row>
    <row r="47" spans="1:7" ht="15" x14ac:dyDescent="0.3">
      <c r="A47" s="80">
        <v>2009</v>
      </c>
      <c r="B47" s="81">
        <f>'Extreme data'!C56</f>
        <v>243</v>
      </c>
      <c r="C47" s="82">
        <f t="shared" si="0"/>
        <v>2.3856062735983121</v>
      </c>
      <c r="F47" s="52"/>
      <c r="G47" s="68"/>
    </row>
    <row r="48" spans="1:7" ht="15" x14ac:dyDescent="0.3">
      <c r="A48" s="80">
        <v>2010</v>
      </c>
      <c r="B48" s="81">
        <f>'Extreme data'!C57</f>
        <v>312</v>
      </c>
      <c r="C48" s="82">
        <f t="shared" si="0"/>
        <v>2.4941545940184429</v>
      </c>
      <c r="F48" s="52"/>
      <c r="G48" s="68"/>
    </row>
    <row r="49" spans="1:14" ht="15" x14ac:dyDescent="0.3">
      <c r="A49" s="80">
        <v>2011</v>
      </c>
      <c r="B49" s="81">
        <f>'Extreme data'!C58</f>
        <v>250</v>
      </c>
      <c r="C49" s="82">
        <f t="shared" si="0"/>
        <v>2.3979400086720375</v>
      </c>
      <c r="F49" s="52"/>
      <c r="G49" s="68"/>
    </row>
    <row r="50" spans="1:14" ht="15" x14ac:dyDescent="0.3">
      <c r="A50" s="80">
        <v>2012</v>
      </c>
      <c r="B50" s="81">
        <f>'Extreme data'!C59</f>
        <v>272</v>
      </c>
      <c r="C50" s="82">
        <f t="shared" si="0"/>
        <v>2.4345689040341987</v>
      </c>
      <c r="F50" s="52"/>
      <c r="G50" s="68"/>
    </row>
    <row r="51" spans="1:14" ht="15" x14ac:dyDescent="0.3">
      <c r="A51" s="80">
        <v>2013</v>
      </c>
      <c r="B51" s="81">
        <f>'Extreme data'!C60</f>
        <v>164</v>
      </c>
      <c r="C51" s="82">
        <f t="shared" si="0"/>
        <v>2.214843848047698</v>
      </c>
      <c r="F51" s="52"/>
      <c r="G51" s="68"/>
    </row>
    <row r="52" spans="1:14" ht="15" x14ac:dyDescent="0.3">
      <c r="A52" s="80">
        <v>2014</v>
      </c>
      <c r="B52" s="81">
        <f>'Extreme data'!C61</f>
        <v>302</v>
      </c>
      <c r="C52" s="82">
        <f t="shared" si="0"/>
        <v>2.4800069429571505</v>
      </c>
      <c r="F52" s="52"/>
      <c r="G52" s="68"/>
    </row>
    <row r="53" spans="1:14" ht="15" x14ac:dyDescent="0.3">
      <c r="A53" s="80">
        <v>2015</v>
      </c>
      <c r="B53" s="81">
        <f>'Extreme data'!C62</f>
        <v>367</v>
      </c>
      <c r="C53" s="82">
        <f t="shared" si="0"/>
        <v>2.5646660642520893</v>
      </c>
      <c r="F53" s="54"/>
      <c r="G53" s="68"/>
    </row>
    <row r="54" spans="1:14" ht="15" x14ac:dyDescent="0.3">
      <c r="A54" s="304"/>
      <c r="B54" s="70"/>
      <c r="C54" s="70"/>
      <c r="F54" s="102"/>
      <c r="G54" s="68"/>
    </row>
    <row r="55" spans="1:14" ht="15" x14ac:dyDescent="0.3">
      <c r="A55" s="363" t="s">
        <v>19</v>
      </c>
      <c r="B55" s="363"/>
      <c r="C55" s="363"/>
      <c r="F55" s="102"/>
      <c r="G55" s="68"/>
    </row>
    <row r="56" spans="1:14" ht="15" x14ac:dyDescent="0.3">
      <c r="A56" s="36" t="s">
        <v>20</v>
      </c>
      <c r="B56" s="37">
        <f>AVERAGE($B$12:$B$53)</f>
        <v>244.23809523809524</v>
      </c>
      <c r="C56" s="37">
        <f>AVERAGE($C$12:$C$53)</f>
        <v>2.3286943416928958</v>
      </c>
      <c r="F56" s="102"/>
      <c r="G56" s="68"/>
    </row>
    <row r="57" spans="1:14" ht="15" x14ac:dyDescent="0.3">
      <c r="A57" s="36" t="s">
        <v>21</v>
      </c>
      <c r="B57" s="37">
        <f>STDEV($B$12:$B$53)</f>
        <v>135.21510586772462</v>
      </c>
      <c r="C57" s="37">
        <f>STDEV($C$12:$C$53)</f>
        <v>0.22723156090320171</v>
      </c>
      <c r="F57" s="102"/>
      <c r="G57" s="68"/>
    </row>
    <row r="58" spans="1:14" ht="15" x14ac:dyDescent="0.3">
      <c r="A58" s="36" t="s">
        <v>23</v>
      </c>
      <c r="B58" s="37">
        <f>SKEW($B$12:$B$53)</f>
        <v>1.2675879710478182</v>
      </c>
      <c r="C58" s="37">
        <f>SKEW($C$12:$C$53)</f>
        <v>0.24120072770399248</v>
      </c>
      <c r="F58" s="102"/>
      <c r="G58" s="68"/>
    </row>
    <row r="59" spans="1:14" ht="15" x14ac:dyDescent="0.3">
      <c r="A59" s="304"/>
      <c r="B59" s="70"/>
      <c r="C59" s="70"/>
      <c r="F59" s="102"/>
      <c r="G59" s="68"/>
    </row>
    <row r="60" spans="1:14" ht="15" x14ac:dyDescent="0.3">
      <c r="A60" s="304"/>
      <c r="B60" s="70"/>
      <c r="C60" s="70"/>
      <c r="F60" s="102"/>
      <c r="G60" s="68"/>
    </row>
    <row r="61" spans="1:14" ht="15" x14ac:dyDescent="0.3">
      <c r="A61" s="360" t="s">
        <v>81</v>
      </c>
      <c r="B61" s="360"/>
      <c r="C61" s="360"/>
      <c r="D61" s="360"/>
      <c r="E61" s="360"/>
      <c r="F61" s="360"/>
      <c r="G61" s="360"/>
      <c r="H61" s="360"/>
      <c r="I61" s="360"/>
      <c r="J61" s="360"/>
      <c r="K61" s="360"/>
    </row>
    <row r="62" spans="1:14" ht="15" x14ac:dyDescent="0.3">
      <c r="A62" s="366" t="s">
        <v>25</v>
      </c>
      <c r="B62" s="367" t="s">
        <v>26</v>
      </c>
      <c r="C62" s="367"/>
      <c r="D62" s="301" t="s">
        <v>8</v>
      </c>
      <c r="E62" s="301"/>
      <c r="F62" s="301"/>
      <c r="G62" s="301" t="s">
        <v>9</v>
      </c>
      <c r="H62" s="301"/>
      <c r="I62" s="301"/>
      <c r="J62" s="301" t="s">
        <v>7</v>
      </c>
      <c r="K62" s="301"/>
    </row>
    <row r="63" spans="1:14" ht="16.5" x14ac:dyDescent="0.35">
      <c r="A63" s="366"/>
      <c r="B63" s="41" t="s">
        <v>28</v>
      </c>
      <c r="C63" s="41" t="s">
        <v>29</v>
      </c>
      <c r="D63" s="300" t="s">
        <v>30</v>
      </c>
      <c r="E63" s="300" t="s">
        <v>54</v>
      </c>
      <c r="F63" s="300" t="s">
        <v>31</v>
      </c>
      <c r="G63" s="300" t="s">
        <v>55</v>
      </c>
      <c r="H63" s="300" t="s">
        <v>54</v>
      </c>
      <c r="I63" s="300" t="s">
        <v>31</v>
      </c>
      <c r="J63" s="300" t="s">
        <v>32</v>
      </c>
      <c r="K63" s="300" t="s">
        <v>33</v>
      </c>
      <c r="M63" s="92"/>
      <c r="N63" s="92"/>
    </row>
    <row r="64" spans="1:14" ht="15" x14ac:dyDescent="0.3">
      <c r="A64" s="62">
        <v>1</v>
      </c>
      <c r="B64" s="42">
        <f>1/A64</f>
        <v>1</v>
      </c>
      <c r="C64" s="42">
        <f>SQRT(LN(1/B64^2))</f>
        <v>0</v>
      </c>
      <c r="D64" s="42">
        <f t="shared" ref="D64:D76" si="1">C64-((2.51557+0.80285*C64+0.010328*C64^2)/(1+1.432788*C64+0.189269*C64^2+0.001308*C64^3))</f>
        <v>-2.5155699999999999</v>
      </c>
      <c r="E64" s="42">
        <f t="shared" ref="E64:E76" si="2">$C$56+D64*$C$57</f>
        <v>1.7570774440316286</v>
      </c>
      <c r="F64" s="43">
        <f>(10)^E64</f>
        <v>57.158055267065038</v>
      </c>
      <c r="G64" s="42">
        <f t="shared" ref="G64:G76" si="3">D64+(D64^2-1)*($C$58/6)+((D64^3-6*D64)*($C$58/6)^2)/3-(D64^2-1)*($C$58/6)^3+D64*($C$58/6)^4+1/3*($C$58/6)^5</f>
        <v>-2.3021773111937915</v>
      </c>
      <c r="H64" s="42">
        <f t="shared" ref="H64:H76" si="4">$C$56+G64*$C$57</f>
        <v>1.8055669977943944</v>
      </c>
      <c r="I64" s="43">
        <f>(10)^H64</f>
        <v>63.909732208790039</v>
      </c>
      <c r="J64" s="44"/>
      <c r="K64" s="43"/>
      <c r="M64" s="40"/>
      <c r="N64" s="40"/>
    </row>
    <row r="65" spans="1:15" ht="15" x14ac:dyDescent="0.3">
      <c r="A65" s="41">
        <v>2</v>
      </c>
      <c r="B65" s="42">
        <f>1/A65</f>
        <v>0.5</v>
      </c>
      <c r="C65" s="42">
        <f>SQRT(LN(1/B65^2))</f>
        <v>1.1774100225154747</v>
      </c>
      <c r="D65" s="42">
        <f t="shared" si="1"/>
        <v>-1.6861240179411041E-5</v>
      </c>
      <c r="E65" s="42">
        <f t="shared" si="2"/>
        <v>2.3286905102869713</v>
      </c>
      <c r="F65" s="43">
        <f>(10)^E65</f>
        <v>213.15253905200939</v>
      </c>
      <c r="G65" s="42">
        <f t="shared" si="3"/>
        <v>-4.0151927667824938E-2</v>
      </c>
      <c r="H65" s="42">
        <f t="shared" si="4"/>
        <v>2.3195705564956635</v>
      </c>
      <c r="I65" s="43">
        <f>(10)^H65</f>
        <v>208.72311928241675</v>
      </c>
      <c r="J65" s="44">
        <f t="shared" ref="J65:J76" si="5">-LN(LN(A65/(A65-1)))</f>
        <v>0.36651292058166435</v>
      </c>
      <c r="K65" s="43">
        <f t="shared" ref="K65:K76" si="6">B$56-(0.577*SQRT(6)*B$57/PI())+(SQRT(6)*B$57/PI())*J65</f>
        <v>222.04711906078251</v>
      </c>
    </row>
    <row r="66" spans="1:15" ht="15" x14ac:dyDescent="0.3">
      <c r="A66" s="41">
        <v>2.33</v>
      </c>
      <c r="B66" s="42">
        <f>1/A66</f>
        <v>0.42918454935622319</v>
      </c>
      <c r="C66" s="42">
        <f>SQRT(LN(1/B66^2))</f>
        <v>1.3006677266524369</v>
      </c>
      <c r="D66" s="42">
        <f t="shared" si="1"/>
        <v>0.17808428211113303</v>
      </c>
      <c r="E66" s="42">
        <f t="shared" si="2"/>
        <v>2.3691607110893345</v>
      </c>
      <c r="F66" s="43">
        <f>(10)^E66</f>
        <v>233.97028877787514</v>
      </c>
      <c r="G66" s="42">
        <f t="shared" si="3"/>
        <v>0.13864992934146028</v>
      </c>
      <c r="H66" s="42">
        <f t="shared" si="4"/>
        <v>2.3601999815562746</v>
      </c>
      <c r="I66" s="43">
        <f>(10)^H66</f>
        <v>229.19227819315168</v>
      </c>
      <c r="J66" s="44">
        <f t="shared" si="5"/>
        <v>0.57858831412193601</v>
      </c>
      <c r="K66" s="43">
        <f t="shared" si="6"/>
        <v>244.40554609037258</v>
      </c>
    </row>
    <row r="67" spans="1:15" ht="15" x14ac:dyDescent="0.3">
      <c r="A67" s="41">
        <v>5</v>
      </c>
      <c r="B67" s="42">
        <f>1/A67</f>
        <v>0.2</v>
      </c>
      <c r="C67" s="42">
        <f>SQRT(LN(1/B67^2))</f>
        <v>1.7941225779941015</v>
      </c>
      <c r="D67" s="42">
        <f t="shared" si="1"/>
        <v>0.84144534566621687</v>
      </c>
      <c r="E67" s="42">
        <f t="shared" si="2"/>
        <v>2.5198972810033644</v>
      </c>
      <c r="F67" s="43">
        <f>(10)^E67</f>
        <v>331.05281186580021</v>
      </c>
      <c r="G67" s="42">
        <f t="shared" si="3"/>
        <v>0.82733062313350303</v>
      </c>
      <c r="H67" s="42">
        <f t="shared" si="4"/>
        <v>2.5166899705705403</v>
      </c>
      <c r="I67" s="43">
        <f>(10)^H67</f>
        <v>328.61695761715146</v>
      </c>
      <c r="J67" s="44">
        <f t="shared" si="5"/>
        <v>1.4999399867595156</v>
      </c>
      <c r="K67" s="43">
        <f t="shared" si="6"/>
        <v>341.54069127328745</v>
      </c>
    </row>
    <row r="68" spans="1:15" ht="15" x14ac:dyDescent="0.3">
      <c r="A68" s="41">
        <v>10</v>
      </c>
      <c r="B68" s="42">
        <f>1/A68</f>
        <v>0.1</v>
      </c>
      <c r="C68" s="42">
        <f>SQRT(LN(1/B68^2))</f>
        <v>2.1459660262893472</v>
      </c>
      <c r="D68" s="42">
        <f t="shared" si="1"/>
        <v>1.2817193675751226</v>
      </c>
      <c r="E68" s="42">
        <f t="shared" si="2"/>
        <v>2.6199414342268552</v>
      </c>
      <c r="F68" s="43">
        <f>(10)^E68</f>
        <v>416.81317130861322</v>
      </c>
      <c r="G68" s="42">
        <f t="shared" si="3"/>
        <v>1.3045134249122385</v>
      </c>
      <c r="H68" s="42">
        <f t="shared" si="4"/>
        <v>2.6251209634548855</v>
      </c>
      <c r="I68" s="43">
        <f>(10)^H68</f>
        <v>421.81397434430409</v>
      </c>
      <c r="J68" s="44">
        <f t="shared" si="5"/>
        <v>2.2503673273124449</v>
      </c>
      <c r="K68" s="43">
        <f t="shared" si="6"/>
        <v>420.65583355675994</v>
      </c>
    </row>
    <row r="69" spans="1:15" ht="15" x14ac:dyDescent="0.3">
      <c r="A69" s="41">
        <v>20</v>
      </c>
      <c r="B69" s="42">
        <f t="shared" ref="B69:B76" si="7">1/A69</f>
        <v>0.05</v>
      </c>
      <c r="C69" s="42">
        <f t="shared" ref="C69:C76" si="8">SQRT(LN(1/B69^2))</f>
        <v>2.4477468306808166</v>
      </c>
      <c r="D69" s="42">
        <f t="shared" si="1"/>
        <v>1.6452033739823797</v>
      </c>
      <c r="E69" s="42">
        <f t="shared" si="2"/>
        <v>2.702536472366126</v>
      </c>
      <c r="F69" s="43">
        <f t="shared" ref="F69:F76" si="9">(10)^E69</f>
        <v>504.12295393693108</v>
      </c>
      <c r="G69" s="42">
        <f t="shared" si="3"/>
        <v>1.7107874701377379</v>
      </c>
      <c r="H69" s="42">
        <f t="shared" si="4"/>
        <v>2.7174392489059338</v>
      </c>
      <c r="I69" s="43">
        <f t="shared" ref="I69:I75" si="10">(10)^H69</f>
        <v>521.7221182634928</v>
      </c>
      <c r="J69" s="44">
        <f t="shared" si="5"/>
        <v>2.9701952490421655</v>
      </c>
      <c r="K69" s="43">
        <f t="shared" si="6"/>
        <v>496.54497747481309</v>
      </c>
    </row>
    <row r="70" spans="1:15" ht="15" x14ac:dyDescent="0.3">
      <c r="A70" s="41">
        <v>50</v>
      </c>
      <c r="B70" s="42">
        <f t="shared" si="7"/>
        <v>0.02</v>
      </c>
      <c r="C70" s="42">
        <f t="shared" si="8"/>
        <v>2.7971496225365371</v>
      </c>
      <c r="D70" s="42">
        <f t="shared" si="1"/>
        <v>2.0541817439773808</v>
      </c>
      <c r="E70" s="42">
        <f t="shared" si="2"/>
        <v>2.7954692657557372</v>
      </c>
      <c r="F70" s="43">
        <f t="shared" si="9"/>
        <v>624.40916039663659</v>
      </c>
      <c r="G70" s="42">
        <f t="shared" si="3"/>
        <v>2.1814387673814273</v>
      </c>
      <c r="H70" s="42">
        <f t="shared" si="4"/>
        <v>2.8243860778197338</v>
      </c>
      <c r="I70" s="43">
        <f t="shared" si="10"/>
        <v>667.3998086767142</v>
      </c>
      <c r="J70" s="44">
        <f t="shared" si="5"/>
        <v>3.9019386579358333</v>
      </c>
      <c r="K70" s="43">
        <f t="shared" si="6"/>
        <v>594.77569000721576</v>
      </c>
    </row>
    <row r="71" spans="1:15" ht="15" x14ac:dyDescent="0.3">
      <c r="A71" s="45">
        <v>100</v>
      </c>
      <c r="B71" s="46">
        <f t="shared" si="7"/>
        <v>0.01</v>
      </c>
      <c r="C71" s="46">
        <f t="shared" si="8"/>
        <v>3.0348542587702929</v>
      </c>
      <c r="D71" s="46">
        <f t="shared" si="1"/>
        <v>2.3267791744716506</v>
      </c>
      <c r="E71" s="46">
        <f t="shared" si="2"/>
        <v>2.8574120053851519</v>
      </c>
      <c r="F71" s="47">
        <f t="shared" si="9"/>
        <v>720.1318268818294</v>
      </c>
      <c r="G71" s="46">
        <f t="shared" si="3"/>
        <v>2.5032032896461422</v>
      </c>
      <c r="H71" s="46">
        <f t="shared" si="4"/>
        <v>2.8975011324572182</v>
      </c>
      <c r="I71" s="47">
        <f>(10)^H71</f>
        <v>789.77090878732395</v>
      </c>
      <c r="J71" s="48">
        <f t="shared" si="5"/>
        <v>4.6001492267765736</v>
      </c>
      <c r="K71" s="47">
        <f t="shared" si="6"/>
        <v>668.38578589865574</v>
      </c>
    </row>
    <row r="72" spans="1:15" ht="15" x14ac:dyDescent="0.3">
      <c r="A72" s="41">
        <v>200</v>
      </c>
      <c r="B72" s="42">
        <f t="shared" si="7"/>
        <v>5.0000000000000001E-3</v>
      </c>
      <c r="C72" s="42">
        <f t="shared" si="8"/>
        <v>3.2552472614374586</v>
      </c>
      <c r="D72" s="42">
        <f t="shared" si="1"/>
        <v>2.5762304772515181</v>
      </c>
      <c r="E72" s="42">
        <f t="shared" si="2"/>
        <v>2.9140952142851586</v>
      </c>
      <c r="F72" s="43">
        <f t="shared" si="9"/>
        <v>820.5314170936748</v>
      </c>
      <c r="G72" s="42">
        <f t="shared" si="3"/>
        <v>2.8033616082579198</v>
      </c>
      <c r="H72" s="42">
        <f t="shared" si="4"/>
        <v>2.9657065757134529</v>
      </c>
      <c r="I72" s="43">
        <f t="shared" si="10"/>
        <v>924.07362705970502</v>
      </c>
      <c r="J72" s="44">
        <f t="shared" si="5"/>
        <v>5.295812142535044</v>
      </c>
      <c r="K72" s="43">
        <f t="shared" si="6"/>
        <v>741.72729091500298</v>
      </c>
    </row>
    <row r="73" spans="1:15" ht="15" x14ac:dyDescent="0.3">
      <c r="A73" s="41">
        <v>500</v>
      </c>
      <c r="B73" s="42">
        <f t="shared" si="7"/>
        <v>2E-3</v>
      </c>
      <c r="C73" s="42">
        <f t="shared" si="8"/>
        <v>3.5255093528232742</v>
      </c>
      <c r="D73" s="42">
        <f t="shared" si="1"/>
        <v>2.8785010937925581</v>
      </c>
      <c r="E73" s="42">
        <f t="shared" si="2"/>
        <v>2.9827806382969522</v>
      </c>
      <c r="F73" s="43">
        <f t="shared" si="9"/>
        <v>961.1266916405807</v>
      </c>
      <c r="G73" s="42">
        <f t="shared" si="3"/>
        <v>3.174468416179459</v>
      </c>
      <c r="H73" s="42">
        <f t="shared" si="4"/>
        <v>3.0500337549392689</v>
      </c>
      <c r="I73" s="43">
        <f t="shared" si="10"/>
        <v>1122.1056650270341</v>
      </c>
      <c r="J73" s="44">
        <f t="shared" si="5"/>
        <v>6.213607264087516</v>
      </c>
      <c r="K73" s="43">
        <f t="shared" si="6"/>
        <v>838.4874803494647</v>
      </c>
    </row>
    <row r="74" spans="1:15" ht="15" x14ac:dyDescent="0.3">
      <c r="A74" s="41">
        <v>1000</v>
      </c>
      <c r="B74" s="42">
        <f t="shared" si="7"/>
        <v>1E-3</v>
      </c>
      <c r="C74" s="42">
        <f t="shared" si="8"/>
        <v>3.7169221888498383</v>
      </c>
      <c r="D74" s="42">
        <f t="shared" si="1"/>
        <v>3.090517579776618</v>
      </c>
      <c r="E74" s="42">
        <f t="shared" si="2"/>
        <v>3.030957475344322</v>
      </c>
      <c r="F74" s="43">
        <f t="shared" si="9"/>
        <v>1073.8842560568332</v>
      </c>
      <c r="G74" s="42">
        <f t="shared" si="3"/>
        <v>3.4396456389905916</v>
      </c>
      <c r="H74" s="42">
        <f t="shared" si="4"/>
        <v>3.1102903891946188</v>
      </c>
      <c r="I74" s="43">
        <f t="shared" si="10"/>
        <v>1289.1112224289388</v>
      </c>
      <c r="J74" s="44">
        <f t="shared" si="5"/>
        <v>6.907255070523628</v>
      </c>
      <c r="K74" s="43">
        <f t="shared" si="6"/>
        <v>911.61653886747706</v>
      </c>
    </row>
    <row r="75" spans="1:15" ht="15" x14ac:dyDescent="0.3">
      <c r="A75" s="41">
        <v>5000</v>
      </c>
      <c r="B75" s="42">
        <f t="shared" si="7"/>
        <v>2.0000000000000001E-4</v>
      </c>
      <c r="C75" s="42">
        <f t="shared" si="8"/>
        <v>4.1272734804992597</v>
      </c>
      <c r="D75" s="42">
        <f t="shared" si="1"/>
        <v>3.5402404913194201</v>
      </c>
      <c r="E75" s="42">
        <f t="shared" si="2"/>
        <v>3.1331487145081254</v>
      </c>
      <c r="F75" s="43">
        <f t="shared" si="9"/>
        <v>1358.7786505301519</v>
      </c>
      <c r="G75" s="42">
        <f t="shared" si="3"/>
        <v>4.0156001295443353</v>
      </c>
      <c r="H75" s="42">
        <f t="shared" si="4"/>
        <v>3.241165427092354</v>
      </c>
      <c r="I75" s="43">
        <f t="shared" si="10"/>
        <v>1742.4704713500792</v>
      </c>
      <c r="J75" s="44">
        <f t="shared" si="5"/>
        <v>8.5170931830821246</v>
      </c>
      <c r="K75" s="43">
        <f t="shared" si="6"/>
        <v>1081.3365962877986</v>
      </c>
    </row>
    <row r="76" spans="1:15" ht="15" x14ac:dyDescent="0.3">
      <c r="A76" s="41">
        <v>10000</v>
      </c>
      <c r="B76" s="42">
        <f t="shared" si="7"/>
        <v>1E-4</v>
      </c>
      <c r="C76" s="42">
        <f t="shared" si="8"/>
        <v>4.2919320525786944</v>
      </c>
      <c r="D76" s="42">
        <f t="shared" si="1"/>
        <v>3.7191205599951926</v>
      </c>
      <c r="E76" s="42">
        <f t="shared" si="2"/>
        <v>3.173795911727793</v>
      </c>
      <c r="F76" s="43">
        <f t="shared" si="9"/>
        <v>1492.0930645913115</v>
      </c>
      <c r="G76" s="42">
        <f t="shared" si="3"/>
        <v>4.2498294813388799</v>
      </c>
      <c r="H76" s="42">
        <f t="shared" si="4"/>
        <v>3.2943897283099735</v>
      </c>
      <c r="I76" s="43">
        <f>(10)^H76</f>
        <v>1969.6530292179168</v>
      </c>
      <c r="J76" s="44">
        <f t="shared" si="5"/>
        <v>9.2102903698935528</v>
      </c>
      <c r="K76" s="43">
        <f t="shared" si="6"/>
        <v>1154.4181474272866</v>
      </c>
      <c r="O76" s="28"/>
    </row>
    <row r="77" spans="1:15" ht="16.5" x14ac:dyDescent="0.35">
      <c r="F77" s="54"/>
      <c r="G77" s="68"/>
      <c r="O77" s="36" t="s">
        <v>52</v>
      </c>
    </row>
    <row r="78" spans="1:15" ht="15" x14ac:dyDescent="0.3">
      <c r="G78" s="71"/>
      <c r="O78" s="36" t="s">
        <v>22</v>
      </c>
    </row>
    <row r="79" spans="1:15" ht="16.5" x14ac:dyDescent="0.35">
      <c r="O79" s="36" t="s">
        <v>53</v>
      </c>
    </row>
    <row r="85" spans="1:12" ht="13.5" customHeight="1" x14ac:dyDescent="0.3">
      <c r="A85" s="73"/>
    </row>
    <row r="86" spans="1:12" ht="13.5" customHeight="1" x14ac:dyDescent="0.3"/>
    <row r="95" spans="1:12" ht="15" x14ac:dyDescent="0.3">
      <c r="L95" s="85"/>
    </row>
    <row r="96" spans="1:12" ht="15" x14ac:dyDescent="0.3">
      <c r="L96" s="85"/>
    </row>
    <row r="97" spans="4:12" ht="15" x14ac:dyDescent="0.3">
      <c r="L97" s="85"/>
    </row>
    <row r="98" spans="4:12" ht="15" x14ac:dyDescent="0.3">
      <c r="L98" s="85"/>
    </row>
    <row r="99" spans="4:12" ht="15" x14ac:dyDescent="0.3">
      <c r="L99" s="85"/>
    </row>
    <row r="100" spans="4:12" ht="15" x14ac:dyDescent="0.3">
      <c r="L100" s="85"/>
    </row>
    <row r="101" spans="4:12" ht="15" x14ac:dyDescent="0.3">
      <c r="L101" s="85"/>
    </row>
    <row r="102" spans="4:12" x14ac:dyDescent="0.3">
      <c r="L102" s="72"/>
    </row>
    <row r="103" spans="4:12" x14ac:dyDescent="0.3">
      <c r="D103" s="73"/>
      <c r="E103" s="73"/>
      <c r="F103" s="73"/>
      <c r="G103" s="73"/>
      <c r="H103" s="73"/>
      <c r="I103" s="73"/>
      <c r="J103" s="73"/>
      <c r="K103" s="73"/>
      <c r="L103" s="72"/>
    </row>
    <row r="104" spans="4:12" x14ac:dyDescent="0.3">
      <c r="L104" s="72"/>
    </row>
    <row r="105" spans="4:12" x14ac:dyDescent="0.3">
      <c r="L105" s="72"/>
    </row>
    <row r="107" spans="4:12" ht="13.5" hidden="1" customHeight="1" x14ac:dyDescent="0.3">
      <c r="D107" s="73"/>
      <c r="E107" s="73"/>
      <c r="F107" s="73"/>
      <c r="G107" s="73"/>
      <c r="H107" s="73"/>
      <c r="I107" s="73"/>
      <c r="J107" s="73"/>
      <c r="K107" s="73"/>
    </row>
    <row r="108" spans="4:12" hidden="1" x14ac:dyDescent="0.3">
      <c r="D108" s="73"/>
      <c r="E108" s="364" t="s">
        <v>8</v>
      </c>
      <c r="F108" s="364"/>
      <c r="G108" s="365" t="s">
        <v>27</v>
      </c>
      <c r="H108" s="365"/>
      <c r="I108" s="73"/>
      <c r="J108" s="73"/>
      <c r="K108" s="73"/>
    </row>
    <row r="109" spans="4:12" hidden="1" x14ac:dyDescent="0.3">
      <c r="D109" s="29" t="s">
        <v>22</v>
      </c>
      <c r="E109" s="74"/>
      <c r="F109" s="74"/>
      <c r="G109" s="74"/>
    </row>
    <row r="110" spans="4:12" hidden="1" x14ac:dyDescent="0.3">
      <c r="D110" s="29" t="s">
        <v>74</v>
      </c>
      <c r="E110" s="74" t="e">
        <f>#REF!-#REF!</f>
        <v>#REF!</v>
      </c>
      <c r="F110" s="74"/>
      <c r="G110" s="74" t="e">
        <f>#REF!-#REF!</f>
        <v>#REF!</v>
      </c>
    </row>
    <row r="111" spans="4:12" hidden="1" x14ac:dyDescent="0.3">
      <c r="D111" s="29" t="s">
        <v>75</v>
      </c>
      <c r="E111" s="74">
        <f>D71-D65</f>
        <v>2.3267960357118298</v>
      </c>
      <c r="F111" s="74"/>
      <c r="G111" s="74">
        <f>G71-G65</f>
        <v>2.5433552173139673</v>
      </c>
    </row>
    <row r="112" spans="4:12" hidden="1" x14ac:dyDescent="0.3">
      <c r="D112" s="29" t="s">
        <v>22</v>
      </c>
      <c r="E112" s="74" t="e">
        <f>E110/E111</f>
        <v>#REF!</v>
      </c>
      <c r="F112" s="74"/>
      <c r="G112" s="74" t="e">
        <f>G110/G111</f>
        <v>#REF!</v>
      </c>
    </row>
    <row r="113" spans="4:7" hidden="1" x14ac:dyDescent="0.3">
      <c r="D113" s="29" t="s">
        <v>76</v>
      </c>
      <c r="E113" s="74" t="e">
        <f>#REF!-D65*E112</f>
        <v>#REF!</v>
      </c>
      <c r="F113" s="74"/>
      <c r="G113" s="74" t="e">
        <f>#REF!-G65*G112</f>
        <v>#REF!</v>
      </c>
    </row>
    <row r="114" spans="4:7" hidden="1" x14ac:dyDescent="0.3">
      <c r="E114" s="74" t="e">
        <f>10^E113</f>
        <v>#REF!</v>
      </c>
      <c r="F114" s="74"/>
      <c r="G114" s="74" t="e">
        <f>10^G113</f>
        <v>#REF!</v>
      </c>
    </row>
    <row r="119" spans="4:7" x14ac:dyDescent="0.3">
      <c r="G119" s="75"/>
    </row>
  </sheetData>
  <mergeCells count="8">
    <mergeCell ref="A61:K61"/>
    <mergeCell ref="B10:C10"/>
    <mergeCell ref="A9:C9"/>
    <mergeCell ref="A55:C55"/>
    <mergeCell ref="E108:F108"/>
    <mergeCell ref="G108:H108"/>
    <mergeCell ref="A62:A63"/>
    <mergeCell ref="B62:C62"/>
  </mergeCells>
  <pageMargins left="0.75" right="0.75" top="1" bottom="1" header="0.5" footer="0.5"/>
  <pageSetup paperSize="9" scale="78" orientation="portrait" r:id="rId1"/>
  <headerFooter alignWithMargins="0"/>
  <rowBreaks count="2" manualBreakCount="2">
    <brk id="60" max="8" man="1"/>
    <brk id="114" max="16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M37"/>
  <sheetViews>
    <sheetView zoomScaleNormal="100" workbookViewId="0">
      <selection activeCell="G13" sqref="G13"/>
    </sheetView>
  </sheetViews>
  <sheetFormatPr defaultRowHeight="12.75" x14ac:dyDescent="0.2"/>
  <cols>
    <col min="1" max="1" width="21" customWidth="1"/>
    <col min="2" max="2" width="12" customWidth="1"/>
    <col min="3" max="3" width="12.28515625" customWidth="1"/>
    <col min="4" max="4" width="14.42578125" customWidth="1"/>
    <col min="5" max="6" width="12" customWidth="1"/>
    <col min="7" max="11" width="11.5703125" bestFit="1" customWidth="1"/>
    <col min="12" max="12" width="13.42578125" customWidth="1"/>
    <col min="13" max="14" width="11.5703125" bestFit="1" customWidth="1"/>
    <col min="18" max="18" width="19.28515625" customWidth="1"/>
    <col min="19" max="19" width="20.7109375" customWidth="1"/>
    <col min="21" max="21" width="18.5703125" customWidth="1"/>
    <col min="22" max="22" width="19.85546875" customWidth="1"/>
  </cols>
  <sheetData>
    <row r="1" spans="1:13" ht="15" x14ac:dyDescent="0.3">
      <c r="A1" s="368" t="s">
        <v>65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</row>
    <row r="2" spans="1:13" ht="15" x14ac:dyDescent="0.3">
      <c r="A2" s="368" t="s">
        <v>63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</row>
    <row r="3" spans="1:13" ht="15" x14ac:dyDescent="0.3">
      <c r="A3" s="26" t="s">
        <v>11</v>
      </c>
      <c r="B3" s="26" t="s">
        <v>68</v>
      </c>
      <c r="C3" s="26"/>
      <c r="D3" s="28"/>
      <c r="E3" s="28"/>
      <c r="F3" s="28"/>
      <c r="G3" s="28"/>
      <c r="H3" s="10"/>
      <c r="I3" s="10"/>
      <c r="J3" s="29"/>
      <c r="K3" s="29"/>
      <c r="L3" s="10"/>
    </row>
    <row r="4" spans="1:13" ht="15" x14ac:dyDescent="0.3">
      <c r="A4" s="26" t="s">
        <v>12</v>
      </c>
      <c r="B4" s="26" t="s">
        <v>58</v>
      </c>
      <c r="C4" s="26"/>
      <c r="D4" s="26"/>
      <c r="E4" s="28"/>
      <c r="G4" s="28"/>
      <c r="H4" s="10"/>
      <c r="I4" s="10"/>
      <c r="J4" s="29"/>
      <c r="K4" s="29"/>
      <c r="L4" s="10"/>
    </row>
    <row r="5" spans="1:13" ht="15" x14ac:dyDescent="0.3">
      <c r="A5" s="26" t="s">
        <v>13</v>
      </c>
      <c r="B5" s="31">
        <f ca="1">TODAY()</f>
        <v>44614</v>
      </c>
      <c r="C5" s="31"/>
      <c r="D5" s="28"/>
      <c r="E5" s="28"/>
      <c r="F5" s="28"/>
      <c r="G5" s="28"/>
      <c r="H5" s="10"/>
      <c r="I5" s="10"/>
      <c r="J5" s="29"/>
      <c r="K5" s="29"/>
      <c r="L5" s="10"/>
    </row>
    <row r="6" spans="1:13" ht="15" x14ac:dyDescent="0.3">
      <c r="A6" s="28" t="s">
        <v>66</v>
      </c>
      <c r="B6" s="17"/>
    </row>
    <row r="7" spans="1:13" x14ac:dyDescent="0.2">
      <c r="A7" s="1" t="s">
        <v>40</v>
      </c>
    </row>
    <row r="8" spans="1:13" x14ac:dyDescent="0.2">
      <c r="A8" s="11" t="s">
        <v>72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2">
      <c r="A10" s="2" t="s">
        <v>0</v>
      </c>
      <c r="B10" s="2"/>
      <c r="C10" s="369" t="s">
        <v>1</v>
      </c>
      <c r="D10" s="370"/>
      <c r="E10" s="370"/>
      <c r="F10" s="370"/>
      <c r="G10" s="370"/>
      <c r="H10" s="370"/>
      <c r="I10" s="370"/>
      <c r="J10" s="370"/>
      <c r="K10" s="371"/>
      <c r="L10" s="58"/>
      <c r="M10" s="6"/>
    </row>
    <row r="11" spans="1:13" x14ac:dyDescent="0.2">
      <c r="A11" s="2"/>
      <c r="B11" s="3"/>
      <c r="C11" s="3">
        <v>2</v>
      </c>
      <c r="D11" s="3">
        <v>5</v>
      </c>
      <c r="E11" s="3">
        <v>10</v>
      </c>
      <c r="F11" s="3">
        <v>20</v>
      </c>
      <c r="G11" s="3">
        <v>50</v>
      </c>
      <c r="H11" s="3">
        <v>100</v>
      </c>
      <c r="I11" s="3">
        <v>200</v>
      </c>
      <c r="J11" s="3">
        <v>500</v>
      </c>
      <c r="K11" s="55">
        <v>1000</v>
      </c>
      <c r="L11" s="59"/>
      <c r="M11" s="6"/>
    </row>
    <row r="12" spans="1:13" x14ac:dyDescent="0.2">
      <c r="A12" s="8" t="s">
        <v>8</v>
      </c>
      <c r="B12" s="22"/>
      <c r="C12" s="9" t="e">
        <f>#REF!</f>
        <v>#REF!</v>
      </c>
      <c r="D12" s="4" t="e">
        <f>#REF!</f>
        <v>#REF!</v>
      </c>
      <c r="E12" s="4" t="e">
        <f>#REF!</f>
        <v>#REF!</v>
      </c>
      <c r="F12" s="4" t="e">
        <f>#REF!</f>
        <v>#REF!</v>
      </c>
      <c r="G12" s="4" t="e">
        <f>#REF!</f>
        <v>#REF!</v>
      </c>
      <c r="H12" s="4" t="e">
        <f>#REF!</f>
        <v>#REF!</v>
      </c>
      <c r="I12" s="4" t="e">
        <f>#REF!</f>
        <v>#REF!</v>
      </c>
      <c r="J12" s="4" t="e">
        <f>#REF!</f>
        <v>#REF!</v>
      </c>
      <c r="K12" s="57" t="e">
        <f>#REF!</f>
        <v>#REF!</v>
      </c>
      <c r="L12" s="56"/>
      <c r="M12" s="6"/>
    </row>
    <row r="13" spans="1:13" x14ac:dyDescent="0.2">
      <c r="A13" s="8" t="s">
        <v>9</v>
      </c>
      <c r="B13" s="3"/>
      <c r="C13" s="9" t="e">
        <f>#REF!</f>
        <v>#REF!</v>
      </c>
      <c r="D13" s="4" t="e">
        <f>#REF!</f>
        <v>#REF!</v>
      </c>
      <c r="E13" s="4" t="e">
        <f>#REF!</f>
        <v>#REF!</v>
      </c>
      <c r="F13" s="4" t="e">
        <f>#REF!</f>
        <v>#REF!</v>
      </c>
      <c r="G13" s="4"/>
      <c r="H13" s="4"/>
      <c r="I13" s="4"/>
      <c r="J13" s="4"/>
      <c r="K13" s="57"/>
      <c r="L13" s="56"/>
      <c r="M13" s="60"/>
    </row>
    <row r="14" spans="1:13" x14ac:dyDescent="0.2">
      <c r="A14" s="8" t="s">
        <v>7</v>
      </c>
      <c r="B14" s="3"/>
      <c r="C14" s="9"/>
      <c r="D14" s="4"/>
      <c r="E14" s="4"/>
      <c r="F14" s="4"/>
      <c r="G14" s="4"/>
      <c r="H14" s="4"/>
      <c r="I14" s="4"/>
      <c r="J14" s="4"/>
      <c r="K14" s="57"/>
      <c r="L14" s="56"/>
      <c r="M14" s="6"/>
    </row>
    <row r="15" spans="1:13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">
      <c r="A16" s="11" t="s">
        <v>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">
      <c r="A17" s="12"/>
      <c r="B17" s="12"/>
      <c r="C17" s="12"/>
      <c r="D17" s="12"/>
      <c r="E17" s="12"/>
      <c r="F17" s="12"/>
      <c r="G17" s="12"/>
      <c r="H17" s="12"/>
      <c r="I17" s="20"/>
      <c r="J17" s="13"/>
      <c r="K17" s="12"/>
      <c r="L17" s="12"/>
      <c r="M17" s="12"/>
    </row>
    <row r="18" spans="1:13" x14ac:dyDescent="0.2">
      <c r="A18" s="12"/>
      <c r="B18" s="20" t="s">
        <v>64</v>
      </c>
      <c r="C18" s="13"/>
      <c r="D18" s="12"/>
      <c r="E18" s="12"/>
      <c r="F18" s="12"/>
      <c r="G18" s="12"/>
      <c r="H18" s="18"/>
      <c r="I18" s="14"/>
      <c r="J18" s="14"/>
      <c r="K18" s="12"/>
      <c r="L18" s="19"/>
      <c r="M18" s="12"/>
    </row>
    <row r="19" spans="1:13" x14ac:dyDescent="0.2">
      <c r="A19" s="18" t="s">
        <v>67</v>
      </c>
      <c r="B19" s="63" t="e">
        <f>#REF!</f>
        <v>#REF!</v>
      </c>
      <c r="C19" s="14"/>
      <c r="D19" s="12"/>
      <c r="E19" s="12"/>
      <c r="F19" s="12"/>
      <c r="G19" s="12"/>
      <c r="H19" s="18"/>
      <c r="I19" s="14"/>
      <c r="J19" s="14"/>
      <c r="K19" s="12"/>
      <c r="L19" s="12"/>
      <c r="M19" s="12"/>
    </row>
    <row r="20" spans="1:13" x14ac:dyDescent="0.2">
      <c r="A20" s="18" t="s">
        <v>70</v>
      </c>
      <c r="B20" s="64" t="e">
        <f>#REF!</f>
        <v>#REF!</v>
      </c>
      <c r="C20" s="14"/>
      <c r="D20" s="65" t="e">
        <f>(B20/B19)^0.85</f>
        <v>#REF!</v>
      </c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5.75" customHeight="1" x14ac:dyDescent="0.2">
      <c r="A21" s="2" t="s">
        <v>0</v>
      </c>
      <c r="B21" s="3"/>
      <c r="C21" s="369" t="s">
        <v>1</v>
      </c>
      <c r="D21" s="370"/>
      <c r="E21" s="370"/>
      <c r="F21" s="370"/>
      <c r="G21" s="370"/>
      <c r="H21" s="370"/>
      <c r="I21" s="370"/>
      <c r="J21" s="370"/>
      <c r="K21" s="371"/>
      <c r="L21" s="5"/>
      <c r="M21" s="12"/>
    </row>
    <row r="22" spans="1:13" x14ac:dyDescent="0.2">
      <c r="A22" s="2"/>
      <c r="B22" s="3"/>
      <c r="C22" s="3">
        <v>2</v>
      </c>
      <c r="D22" s="3">
        <v>5</v>
      </c>
      <c r="E22" s="3">
        <v>10</v>
      </c>
      <c r="F22" s="3">
        <v>20</v>
      </c>
      <c r="G22" s="3">
        <v>50</v>
      </c>
      <c r="H22" s="3">
        <v>100</v>
      </c>
      <c r="I22" s="3">
        <v>200</v>
      </c>
      <c r="J22" s="3">
        <v>500</v>
      </c>
      <c r="K22" s="3">
        <v>1000</v>
      </c>
      <c r="L22" s="5"/>
      <c r="M22" s="12"/>
    </row>
    <row r="23" spans="1:13" x14ac:dyDescent="0.2">
      <c r="A23" s="8" t="s">
        <v>8</v>
      </c>
      <c r="B23" s="4"/>
      <c r="C23" s="4" t="e">
        <f>C12*($B$20/$B$19)^0.85</f>
        <v>#REF!</v>
      </c>
      <c r="D23" s="4" t="e">
        <f t="shared" ref="D23:K25" si="0">D12*($B$20/$B$19)^0.85</f>
        <v>#REF!</v>
      </c>
      <c r="E23" s="4" t="e">
        <f t="shared" si="0"/>
        <v>#REF!</v>
      </c>
      <c r="F23" s="4" t="e">
        <f t="shared" si="0"/>
        <v>#REF!</v>
      </c>
      <c r="G23" s="4" t="e">
        <f t="shared" si="0"/>
        <v>#REF!</v>
      </c>
      <c r="H23" s="4" t="e">
        <f t="shared" si="0"/>
        <v>#REF!</v>
      </c>
      <c r="I23" s="4" t="e">
        <f t="shared" si="0"/>
        <v>#REF!</v>
      </c>
      <c r="J23" s="4" t="e">
        <f t="shared" si="0"/>
        <v>#REF!</v>
      </c>
      <c r="K23" s="4" t="e">
        <f t="shared" si="0"/>
        <v>#REF!</v>
      </c>
      <c r="L23" s="7"/>
      <c r="M23" s="12"/>
    </row>
    <row r="24" spans="1:13" x14ac:dyDescent="0.2">
      <c r="A24" s="8" t="s">
        <v>9</v>
      </c>
      <c r="B24" s="4"/>
      <c r="C24" s="4" t="e">
        <f>C13*($B$20/$B$19)^0.85</f>
        <v>#REF!</v>
      </c>
      <c r="D24" s="4" t="e">
        <f t="shared" si="0"/>
        <v>#REF!</v>
      </c>
      <c r="E24" s="4" t="e">
        <f t="shared" si="0"/>
        <v>#REF!</v>
      </c>
      <c r="F24" s="4" t="e">
        <f t="shared" si="0"/>
        <v>#REF!</v>
      </c>
      <c r="G24" s="4" t="e">
        <f t="shared" si="0"/>
        <v>#REF!</v>
      </c>
      <c r="H24" s="4" t="e">
        <f t="shared" si="0"/>
        <v>#REF!</v>
      </c>
      <c r="I24" s="4" t="e">
        <f t="shared" si="0"/>
        <v>#REF!</v>
      </c>
      <c r="J24" s="4" t="e">
        <f t="shared" si="0"/>
        <v>#REF!</v>
      </c>
      <c r="K24" s="4" t="e">
        <f>K13*($B$20/$B$19)^0.85</f>
        <v>#REF!</v>
      </c>
      <c r="L24" s="56"/>
      <c r="M24" s="12"/>
    </row>
    <row r="25" spans="1:13" x14ac:dyDescent="0.2">
      <c r="A25" s="8" t="s">
        <v>7</v>
      </c>
      <c r="B25" s="3"/>
      <c r="C25" s="4" t="e">
        <f>C14*($B$20/$B$19)^0.85</f>
        <v>#REF!</v>
      </c>
      <c r="D25" s="4" t="e">
        <f t="shared" si="0"/>
        <v>#REF!</v>
      </c>
      <c r="E25" s="4" t="e">
        <f t="shared" si="0"/>
        <v>#REF!</v>
      </c>
      <c r="F25" s="4" t="e">
        <f t="shared" si="0"/>
        <v>#REF!</v>
      </c>
      <c r="G25" s="4" t="e">
        <f t="shared" si="0"/>
        <v>#REF!</v>
      </c>
      <c r="H25" s="4" t="e">
        <f>H14*($B$20/$B$19)^0.85</f>
        <v>#REF!</v>
      </c>
      <c r="I25" s="4" t="e">
        <f t="shared" si="0"/>
        <v>#REF!</v>
      </c>
      <c r="J25" s="4" t="e">
        <f t="shared" si="0"/>
        <v>#REF!</v>
      </c>
      <c r="K25" s="4" t="e">
        <f t="shared" si="0"/>
        <v>#REF!</v>
      </c>
      <c r="L25" s="7"/>
      <c r="M25" s="12"/>
    </row>
    <row r="26" spans="1:13" x14ac:dyDescent="0.2">
      <c r="A26" s="15"/>
      <c r="B26" s="12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</row>
    <row r="27" spans="1:13" x14ac:dyDescent="0.2">
      <c r="A27" s="11"/>
      <c r="B27" s="12"/>
      <c r="C27" s="14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">
      <c r="A28" s="12"/>
      <c r="B28" s="20"/>
      <c r="C28" s="13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">
      <c r="A29" s="18" t="str">
        <f>A19</f>
        <v xml:space="preserve">Sabaya Khola </v>
      </c>
      <c r="B29" s="63" t="e">
        <f>B19</f>
        <v>#REF!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">
      <c r="A30" s="18" t="s">
        <v>71</v>
      </c>
      <c r="B30" s="2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s="2" t="s">
        <v>0</v>
      </c>
      <c r="B32" s="3"/>
      <c r="C32" s="369" t="s">
        <v>1</v>
      </c>
      <c r="D32" s="370"/>
      <c r="E32" s="370"/>
      <c r="F32" s="370"/>
      <c r="G32" s="370"/>
      <c r="H32" s="370"/>
      <c r="I32" s="370"/>
      <c r="J32" s="370"/>
      <c r="K32" s="371"/>
      <c r="L32" s="5"/>
      <c r="M32" s="12"/>
    </row>
    <row r="33" spans="1:13" x14ac:dyDescent="0.2">
      <c r="A33" s="2"/>
      <c r="B33" s="3"/>
      <c r="C33" s="3">
        <v>2</v>
      </c>
      <c r="D33" s="3">
        <v>5</v>
      </c>
      <c r="E33" s="3">
        <v>10</v>
      </c>
      <c r="F33" s="3">
        <v>20</v>
      </c>
      <c r="G33" s="3">
        <v>50</v>
      </c>
      <c r="H33" s="3">
        <v>100</v>
      </c>
      <c r="I33" s="3">
        <v>200</v>
      </c>
      <c r="J33" s="3">
        <v>500</v>
      </c>
      <c r="K33" s="3">
        <v>1000</v>
      </c>
      <c r="L33" s="5"/>
      <c r="M33" s="12"/>
    </row>
    <row r="34" spans="1:13" x14ac:dyDescent="0.2">
      <c r="A34" s="8" t="s">
        <v>8</v>
      </c>
      <c r="B34" s="4"/>
      <c r="C34" s="4" t="e">
        <f>C12*($B$30/$B$29)^0.9</f>
        <v>#REF!</v>
      </c>
      <c r="D34" s="4" t="e">
        <f t="shared" ref="D34:K36" si="1">D12*($B$30/$B$29)^0.9</f>
        <v>#REF!</v>
      </c>
      <c r="E34" s="4" t="e">
        <f t="shared" si="1"/>
        <v>#REF!</v>
      </c>
      <c r="F34" s="4" t="e">
        <f t="shared" si="1"/>
        <v>#REF!</v>
      </c>
      <c r="G34" s="4" t="e">
        <f t="shared" si="1"/>
        <v>#REF!</v>
      </c>
      <c r="H34" s="4" t="e">
        <f t="shared" si="1"/>
        <v>#REF!</v>
      </c>
      <c r="I34" s="4" t="e">
        <f t="shared" si="1"/>
        <v>#REF!</v>
      </c>
      <c r="J34" s="4" t="e">
        <f t="shared" si="1"/>
        <v>#REF!</v>
      </c>
      <c r="K34" s="4" t="e">
        <f t="shared" si="1"/>
        <v>#REF!</v>
      </c>
      <c r="L34" s="7"/>
      <c r="M34" s="12"/>
    </row>
    <row r="35" spans="1:13" x14ac:dyDescent="0.2">
      <c r="A35" s="8" t="s">
        <v>9</v>
      </c>
      <c r="B35" s="4"/>
      <c r="C35" s="4" t="e">
        <f>C13*($B$30/$B$29)^0.9</f>
        <v>#REF!</v>
      </c>
      <c r="D35" s="4" t="e">
        <f t="shared" si="1"/>
        <v>#REF!</v>
      </c>
      <c r="E35" s="4" t="e">
        <f t="shared" si="1"/>
        <v>#REF!</v>
      </c>
      <c r="F35" s="4" t="e">
        <f t="shared" si="1"/>
        <v>#REF!</v>
      </c>
      <c r="G35" s="4" t="e">
        <f t="shared" si="1"/>
        <v>#REF!</v>
      </c>
      <c r="H35" s="4" t="e">
        <f t="shared" si="1"/>
        <v>#REF!</v>
      </c>
      <c r="I35" s="4" t="e">
        <f t="shared" si="1"/>
        <v>#REF!</v>
      </c>
      <c r="J35" s="4" t="e">
        <f t="shared" si="1"/>
        <v>#REF!</v>
      </c>
      <c r="K35" s="4" t="e">
        <f t="shared" si="1"/>
        <v>#REF!</v>
      </c>
      <c r="L35" s="7"/>
      <c r="M35" s="12"/>
    </row>
    <row r="36" spans="1:13" x14ac:dyDescent="0.2">
      <c r="A36" s="8" t="s">
        <v>7</v>
      </c>
      <c r="B36" s="3"/>
      <c r="C36" s="4" t="e">
        <f>C14*($B$30/$B$29)^0.9</f>
        <v>#REF!</v>
      </c>
      <c r="D36" s="4" t="e">
        <f t="shared" si="1"/>
        <v>#REF!</v>
      </c>
      <c r="E36" s="4" t="e">
        <f t="shared" si="1"/>
        <v>#REF!</v>
      </c>
      <c r="F36" s="4" t="e">
        <f t="shared" si="1"/>
        <v>#REF!</v>
      </c>
      <c r="G36" s="4" t="e">
        <f t="shared" si="1"/>
        <v>#REF!</v>
      </c>
      <c r="H36" s="4" t="e">
        <f t="shared" si="1"/>
        <v>#REF!</v>
      </c>
      <c r="I36" s="4" t="e">
        <f t="shared" si="1"/>
        <v>#REF!</v>
      </c>
      <c r="J36" s="4" t="e">
        <f t="shared" si="1"/>
        <v>#REF!</v>
      </c>
      <c r="K36" s="4" t="e">
        <f t="shared" si="1"/>
        <v>#REF!</v>
      </c>
      <c r="L36" s="7"/>
      <c r="M36" s="12"/>
    </row>
    <row r="37" spans="1:13" x14ac:dyDescent="0.2">
      <c r="A37" s="14"/>
      <c r="B37" s="12"/>
      <c r="C37" s="12"/>
      <c r="D37" s="12"/>
      <c r="E37" s="12"/>
      <c r="F37" s="12"/>
      <c r="G37" s="12"/>
      <c r="H37" s="7"/>
      <c r="I37" s="12"/>
      <c r="J37" s="12"/>
      <c r="K37" s="12"/>
      <c r="L37" s="12"/>
      <c r="M37" s="12"/>
    </row>
  </sheetData>
  <mergeCells count="5">
    <mergeCell ref="A1:L1"/>
    <mergeCell ref="A2:L2"/>
    <mergeCell ref="C10:K10"/>
    <mergeCell ref="C21:K21"/>
    <mergeCell ref="C32:K32"/>
  </mergeCells>
  <printOptions horizontalCentered="1"/>
  <pageMargins left="0.75" right="0.75" top="1" bottom="1" header="0.5" footer="0.5"/>
  <pageSetup paperSize="9" scale="75" fitToHeight="4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6" tint="-0.499984740745262"/>
  </sheetPr>
  <dimension ref="A1:Q93"/>
  <sheetViews>
    <sheetView workbookViewId="0">
      <selection activeCell="F11" sqref="F11"/>
    </sheetView>
  </sheetViews>
  <sheetFormatPr defaultRowHeight="13.5" x14ac:dyDescent="0.3"/>
  <cols>
    <col min="1" max="1" width="10.7109375" style="29" customWidth="1"/>
    <col min="2" max="2" width="14.42578125" style="29" customWidth="1"/>
    <col min="3" max="3" width="10.28515625" style="29" customWidth="1"/>
    <col min="4" max="4" width="6.140625" style="29" bestFit="1" customWidth="1"/>
    <col min="5" max="5" width="35.140625" style="29" bestFit="1" customWidth="1"/>
    <col min="6" max="6" width="9.28515625" style="29" customWidth="1"/>
    <col min="7" max="7" width="6.5703125" style="29" customWidth="1"/>
    <col min="8" max="8" width="7.140625" style="29" customWidth="1"/>
    <col min="9" max="9" width="8.5703125" style="29" bestFit="1" customWidth="1"/>
    <col min="10" max="10" width="7.5703125" style="29" customWidth="1"/>
    <col min="11" max="11" width="9.42578125" style="29" customWidth="1"/>
    <col min="12" max="12" width="8.85546875" style="29" customWidth="1"/>
    <col min="13" max="16384" width="9.140625" style="29"/>
  </cols>
  <sheetData>
    <row r="1" spans="1:16" ht="12.75" customHeight="1" x14ac:dyDescent="0.3">
      <c r="A1" s="61" t="s">
        <v>44</v>
      </c>
      <c r="B1" s="61"/>
      <c r="E1" s="28" t="s">
        <v>133</v>
      </c>
      <c r="F1" s="28"/>
      <c r="M1" s="61"/>
      <c r="N1" s="61"/>
      <c r="O1" s="61"/>
      <c r="P1" s="61"/>
    </row>
    <row r="2" spans="1:16" ht="12.75" customHeight="1" x14ac:dyDescent="0.3">
      <c r="A2" s="61" t="s">
        <v>63</v>
      </c>
      <c r="B2" s="61"/>
      <c r="E2" s="28" t="s">
        <v>134</v>
      </c>
      <c r="F2" s="28"/>
      <c r="M2" s="61"/>
      <c r="N2" s="61"/>
      <c r="O2" s="61"/>
      <c r="P2" s="61"/>
    </row>
    <row r="3" spans="1:16" ht="12.75" customHeight="1" x14ac:dyDescent="0.3">
      <c r="A3" s="26" t="s">
        <v>11</v>
      </c>
      <c r="B3" s="27" t="s">
        <v>132</v>
      </c>
      <c r="C3" s="26"/>
      <c r="D3" s="28"/>
      <c r="E3" s="28" t="s">
        <v>51</v>
      </c>
      <c r="M3" s="61"/>
      <c r="N3" s="61"/>
      <c r="O3" s="61"/>
      <c r="P3" s="61"/>
    </row>
    <row r="4" spans="1:16" ht="12.75" customHeight="1" x14ac:dyDescent="0.3">
      <c r="A4" s="26" t="s">
        <v>12</v>
      </c>
      <c r="B4" s="26" t="s">
        <v>45</v>
      </c>
      <c r="C4" s="26"/>
      <c r="D4" s="28"/>
      <c r="E4" s="28"/>
      <c r="M4" s="61"/>
      <c r="N4" s="61"/>
      <c r="O4" s="61"/>
      <c r="P4" s="61"/>
    </row>
    <row r="5" spans="1:16" ht="12.75" customHeight="1" x14ac:dyDescent="0.3">
      <c r="A5" s="26" t="s">
        <v>13</v>
      </c>
      <c r="B5" s="25">
        <v>43340</v>
      </c>
      <c r="C5" s="31"/>
      <c r="D5" s="28"/>
      <c r="E5" s="28"/>
      <c r="M5" s="61"/>
      <c r="N5" s="61"/>
      <c r="O5" s="61"/>
      <c r="P5" s="61"/>
    </row>
    <row r="6" spans="1:16" ht="12.75" customHeight="1" x14ac:dyDescent="0.3">
      <c r="A6" s="26" t="s">
        <v>42</v>
      </c>
      <c r="B6" s="25"/>
      <c r="C6" s="32" t="s">
        <v>252</v>
      </c>
      <c r="D6" s="28"/>
      <c r="E6" s="28"/>
      <c r="L6" s="30"/>
      <c r="M6" s="61"/>
      <c r="N6" s="61"/>
      <c r="O6" s="61"/>
      <c r="P6" s="61"/>
    </row>
    <row r="7" spans="1:16" ht="12.75" customHeight="1" x14ac:dyDescent="0.35">
      <c r="A7" s="26" t="s">
        <v>46</v>
      </c>
      <c r="B7" s="26"/>
      <c r="C7" s="67">
        <v>602.5</v>
      </c>
      <c r="D7" s="26"/>
      <c r="E7" s="26"/>
      <c r="F7" s="23"/>
      <c r="G7" s="23"/>
      <c r="L7" s="30"/>
      <c r="M7" s="61"/>
      <c r="N7" s="61"/>
      <c r="O7" s="61"/>
      <c r="P7" s="61"/>
    </row>
    <row r="8" spans="1:16" ht="12.75" customHeight="1" x14ac:dyDescent="0.35">
      <c r="A8" s="26" t="s">
        <v>47</v>
      </c>
      <c r="B8" s="26"/>
      <c r="C8" s="307" t="s">
        <v>251</v>
      </c>
      <c r="D8" s="26"/>
      <c r="E8" s="26"/>
      <c r="F8" s="23"/>
      <c r="G8" s="23"/>
      <c r="L8" s="30"/>
      <c r="M8" s="61"/>
      <c r="N8" s="61"/>
      <c r="O8" s="61"/>
      <c r="P8" s="61"/>
    </row>
    <row r="9" spans="1:16" ht="15" x14ac:dyDescent="0.3">
      <c r="A9" s="363" t="s">
        <v>14</v>
      </c>
      <c r="B9" s="363"/>
      <c r="C9" s="363"/>
    </row>
    <row r="10" spans="1:16" ht="15" x14ac:dyDescent="0.3">
      <c r="A10" s="33" t="s">
        <v>15</v>
      </c>
      <c r="B10" s="33" t="s">
        <v>16</v>
      </c>
      <c r="C10" s="33"/>
    </row>
    <row r="11" spans="1:16" ht="15" x14ac:dyDescent="0.3">
      <c r="A11" s="33"/>
      <c r="B11" s="34" t="s">
        <v>17</v>
      </c>
      <c r="C11" s="33" t="s">
        <v>18</v>
      </c>
    </row>
    <row r="12" spans="1:16" ht="15" x14ac:dyDescent="0.3">
      <c r="A12" s="80">
        <v>1974</v>
      </c>
      <c r="B12" s="98">
        <f>'Extreme data'!D21</f>
        <v>65.7</v>
      </c>
      <c r="C12" s="82">
        <f>IF(B12="","",LOG(B12))</f>
        <v>1.8175653695597809</v>
      </c>
    </row>
    <row r="13" spans="1:16" ht="15" x14ac:dyDescent="0.3">
      <c r="A13" s="80">
        <v>1975</v>
      </c>
      <c r="B13" s="98">
        <f>'Extreme data'!D22</f>
        <v>66.599999999999994</v>
      </c>
      <c r="C13" s="82">
        <f t="shared" ref="C13:C17" si="0">IF(B13="","",LOG(B13))</f>
        <v>1.823474229170301</v>
      </c>
    </row>
    <row r="14" spans="1:16" ht="15" x14ac:dyDescent="0.3">
      <c r="A14" s="80">
        <v>1976</v>
      </c>
      <c r="B14" s="98">
        <f>'Extreme data'!D23</f>
        <v>59.6</v>
      </c>
      <c r="C14" s="82">
        <f t="shared" si="0"/>
        <v>1.7752462597402365</v>
      </c>
    </row>
    <row r="15" spans="1:16" ht="15" x14ac:dyDescent="0.3">
      <c r="A15" s="80">
        <v>1979</v>
      </c>
      <c r="B15" s="98">
        <f>'Extreme data'!D26</f>
        <v>88</v>
      </c>
      <c r="C15" s="82">
        <f t="shared" si="0"/>
        <v>1.9444826721501687</v>
      </c>
    </row>
    <row r="16" spans="1:16" ht="15" x14ac:dyDescent="0.3">
      <c r="A16" s="80">
        <v>1984</v>
      </c>
      <c r="B16" s="98">
        <f>'Extreme data'!D31</f>
        <v>34.4</v>
      </c>
      <c r="C16" s="82">
        <f t="shared" si="0"/>
        <v>1.5365584425715302</v>
      </c>
    </row>
    <row r="17" spans="1:7" ht="15" x14ac:dyDescent="0.3">
      <c r="A17" s="80">
        <v>1985</v>
      </c>
      <c r="B17" s="98">
        <f>'Extreme data'!D32</f>
        <v>41.6</v>
      </c>
      <c r="C17" s="82">
        <f t="shared" si="0"/>
        <v>1.6190933306267428</v>
      </c>
    </row>
    <row r="18" spans="1:7" ht="15" x14ac:dyDescent="0.3">
      <c r="A18" s="80">
        <v>1986</v>
      </c>
      <c r="B18" s="98">
        <f>'Extreme data'!D33</f>
        <v>50</v>
      </c>
      <c r="C18" s="82">
        <f t="shared" ref="C18:C45" si="1">IF(B18="","",LOG(B18))</f>
        <v>1.6989700043360187</v>
      </c>
    </row>
    <row r="19" spans="1:7" ht="15" x14ac:dyDescent="0.3">
      <c r="A19" s="80">
        <v>1987</v>
      </c>
      <c r="B19" s="98">
        <f>'Extreme data'!D34</f>
        <v>38.200000000000003</v>
      </c>
      <c r="C19" s="82">
        <f t="shared" si="1"/>
        <v>1.5820633629117087</v>
      </c>
    </row>
    <row r="20" spans="1:7" ht="15" x14ac:dyDescent="0.3">
      <c r="A20" s="80">
        <v>1988</v>
      </c>
      <c r="B20" s="98">
        <f>'Extreme data'!D35</f>
        <v>62</v>
      </c>
      <c r="C20" s="82">
        <f t="shared" si="1"/>
        <v>1.7923916894982539</v>
      </c>
      <c r="F20" s="52"/>
      <c r="G20" s="68"/>
    </row>
    <row r="21" spans="1:7" ht="15" x14ac:dyDescent="0.3">
      <c r="A21" s="80">
        <v>1989</v>
      </c>
      <c r="B21" s="98">
        <f>'Extreme data'!D36</f>
        <v>20</v>
      </c>
      <c r="C21" s="82">
        <f t="shared" si="1"/>
        <v>1.3010299956639813</v>
      </c>
      <c r="F21" s="52"/>
      <c r="G21" s="68"/>
    </row>
    <row r="22" spans="1:7" ht="15" x14ac:dyDescent="0.3">
      <c r="A22" s="80">
        <v>1990</v>
      </c>
      <c r="B22" s="98">
        <f>'Extreme data'!D37</f>
        <v>31.6</v>
      </c>
      <c r="C22" s="82">
        <f t="shared" si="1"/>
        <v>1.4996870826184039</v>
      </c>
      <c r="F22" s="52"/>
      <c r="G22" s="68"/>
    </row>
    <row r="23" spans="1:7" ht="15" x14ac:dyDescent="0.3">
      <c r="A23" s="80">
        <v>1991</v>
      </c>
      <c r="B23" s="98">
        <f>'Extreme data'!D38</f>
        <v>32.799999999999997</v>
      </c>
      <c r="C23" s="82">
        <f t="shared" si="1"/>
        <v>1.515873843711679</v>
      </c>
      <c r="F23" s="52"/>
      <c r="G23" s="68"/>
    </row>
    <row r="24" spans="1:7" ht="15" x14ac:dyDescent="0.3">
      <c r="A24" s="80">
        <v>1994</v>
      </c>
      <c r="B24" s="98">
        <f>'Extreme data'!D41</f>
        <v>44.5</v>
      </c>
      <c r="C24" s="82">
        <f t="shared" si="1"/>
        <v>1.6483600109809315</v>
      </c>
      <c r="F24" s="52"/>
      <c r="G24" s="68"/>
    </row>
    <row r="25" spans="1:7" ht="15" x14ac:dyDescent="0.3">
      <c r="A25" s="80">
        <v>1995</v>
      </c>
      <c r="B25" s="98">
        <f>'Extreme data'!D42</f>
        <v>45.2</v>
      </c>
      <c r="C25" s="82">
        <f t="shared" si="1"/>
        <v>1.6551384348113822</v>
      </c>
      <c r="F25" s="52"/>
      <c r="G25" s="68"/>
    </row>
    <row r="26" spans="1:7" ht="15" x14ac:dyDescent="0.3">
      <c r="A26" s="80">
        <v>1996</v>
      </c>
      <c r="B26" s="98">
        <f>'Extreme data'!D43</f>
        <v>50</v>
      </c>
      <c r="C26" s="82">
        <f t="shared" si="1"/>
        <v>1.6989700043360187</v>
      </c>
      <c r="F26" s="52"/>
      <c r="G26" s="68"/>
    </row>
    <row r="27" spans="1:7" ht="15" x14ac:dyDescent="0.3">
      <c r="A27" s="80">
        <v>1997</v>
      </c>
      <c r="B27" s="98">
        <f>'Extreme data'!D44</f>
        <v>48.7</v>
      </c>
      <c r="C27" s="82">
        <f t="shared" si="1"/>
        <v>1.6875289612146342</v>
      </c>
      <c r="F27" s="52"/>
      <c r="G27" s="68"/>
    </row>
    <row r="28" spans="1:7" ht="15" x14ac:dyDescent="0.3">
      <c r="A28" s="80">
        <v>1998</v>
      </c>
      <c r="B28" s="98">
        <f>'Extreme data'!D45</f>
        <v>57.8</v>
      </c>
      <c r="C28" s="82">
        <f t="shared" si="1"/>
        <v>1.761927838420529</v>
      </c>
      <c r="F28" s="54"/>
      <c r="G28" s="68"/>
    </row>
    <row r="29" spans="1:7" ht="15" x14ac:dyDescent="0.3">
      <c r="A29" s="80">
        <v>1999</v>
      </c>
      <c r="B29" s="98">
        <f>'Extreme data'!D46</f>
        <v>41</v>
      </c>
      <c r="C29" s="82">
        <f t="shared" si="1"/>
        <v>1.6127838567197355</v>
      </c>
      <c r="F29" s="54"/>
      <c r="G29" s="68"/>
    </row>
    <row r="30" spans="1:7" ht="15" x14ac:dyDescent="0.3">
      <c r="A30" s="80">
        <v>2000</v>
      </c>
      <c r="B30" s="98">
        <f>'Extreme data'!D47</f>
        <v>33.200000000000003</v>
      </c>
      <c r="C30" s="82">
        <f t="shared" si="1"/>
        <v>1.5211380837040362</v>
      </c>
      <c r="F30" s="54"/>
      <c r="G30" s="68"/>
    </row>
    <row r="31" spans="1:7" ht="15" x14ac:dyDescent="0.3">
      <c r="A31" s="80">
        <v>2001</v>
      </c>
      <c r="B31" s="98">
        <f>'Extreme data'!D48</f>
        <v>40.4</v>
      </c>
      <c r="C31" s="82">
        <f t="shared" si="1"/>
        <v>1.6063813651106049</v>
      </c>
      <c r="F31" s="54"/>
      <c r="G31" s="68"/>
    </row>
    <row r="32" spans="1:7" ht="15" x14ac:dyDescent="0.3">
      <c r="A32" s="80">
        <v>2002</v>
      </c>
      <c r="B32" s="98">
        <f>'Extreme data'!D49</f>
        <v>48.7</v>
      </c>
      <c r="C32" s="82">
        <f t="shared" si="1"/>
        <v>1.6875289612146342</v>
      </c>
      <c r="F32" s="54"/>
      <c r="G32" s="68"/>
    </row>
    <row r="33" spans="1:7" ht="15" x14ac:dyDescent="0.3">
      <c r="A33" s="80">
        <v>2003</v>
      </c>
      <c r="B33" s="98">
        <f>'Extreme data'!D50</f>
        <v>20.6</v>
      </c>
      <c r="C33" s="82">
        <f t="shared" si="1"/>
        <v>1.3138672203691535</v>
      </c>
      <c r="F33" s="54"/>
      <c r="G33" s="68"/>
    </row>
    <row r="34" spans="1:7" ht="15" x14ac:dyDescent="0.3">
      <c r="A34" s="80">
        <v>2004</v>
      </c>
      <c r="B34" s="98">
        <f>'Extreme data'!D51</f>
        <v>57.1</v>
      </c>
      <c r="C34" s="82">
        <f t="shared" si="1"/>
        <v>1.7566361082458481</v>
      </c>
      <c r="F34" s="54"/>
      <c r="G34" s="68"/>
    </row>
    <row r="35" spans="1:7" ht="15" x14ac:dyDescent="0.3">
      <c r="A35" s="80">
        <v>2005</v>
      </c>
      <c r="B35" s="98">
        <f>'Extreme data'!D52</f>
        <v>26.6</v>
      </c>
      <c r="C35" s="82">
        <f t="shared" si="1"/>
        <v>1.424881636631067</v>
      </c>
      <c r="F35" s="54"/>
      <c r="G35" s="68"/>
    </row>
    <row r="36" spans="1:7" ht="15" x14ac:dyDescent="0.3">
      <c r="A36" s="80">
        <v>2006</v>
      </c>
      <c r="B36" s="98">
        <f>'Extreme data'!D53</f>
        <v>32</v>
      </c>
      <c r="C36" s="82">
        <f t="shared" si="1"/>
        <v>1.505149978319906</v>
      </c>
      <c r="F36" s="54"/>
      <c r="G36" s="68"/>
    </row>
    <row r="37" spans="1:7" ht="15" x14ac:dyDescent="0.3">
      <c r="A37" s="80">
        <v>2007</v>
      </c>
      <c r="B37" s="98">
        <f>'Extreme data'!D54</f>
        <v>61.3</v>
      </c>
      <c r="C37" s="82">
        <f t="shared" si="1"/>
        <v>1.7874604745184151</v>
      </c>
      <c r="F37" s="54"/>
      <c r="G37" s="68"/>
    </row>
    <row r="38" spans="1:7" ht="15" x14ac:dyDescent="0.3">
      <c r="A38" s="80">
        <v>2008</v>
      </c>
      <c r="B38" s="98">
        <f>'Extreme data'!D55</f>
        <v>48.8</v>
      </c>
      <c r="C38" s="82">
        <f t="shared" si="1"/>
        <v>1.6884198220027107</v>
      </c>
      <c r="F38" s="54"/>
      <c r="G38" s="68"/>
    </row>
    <row r="39" spans="1:7" ht="15" x14ac:dyDescent="0.3">
      <c r="A39" s="80">
        <v>2009</v>
      </c>
      <c r="B39" s="98">
        <f>'Extreme data'!D56</f>
        <v>56.4</v>
      </c>
      <c r="C39" s="82">
        <f t="shared" si="1"/>
        <v>1.7512791039833422</v>
      </c>
      <c r="F39" s="54"/>
      <c r="G39" s="68"/>
    </row>
    <row r="40" spans="1:7" ht="15" x14ac:dyDescent="0.3">
      <c r="A40" s="80">
        <v>2010</v>
      </c>
      <c r="B40" s="98">
        <f>'Extreme data'!D57</f>
        <v>20</v>
      </c>
      <c r="C40" s="82">
        <f t="shared" si="1"/>
        <v>1.3010299956639813</v>
      </c>
      <c r="F40" s="54"/>
      <c r="G40" s="68"/>
    </row>
    <row r="41" spans="1:7" ht="15" x14ac:dyDescent="0.3">
      <c r="A41" s="80">
        <v>2011</v>
      </c>
      <c r="B41" s="98">
        <f>'Extreme data'!D58</f>
        <v>61.4</v>
      </c>
      <c r="C41" s="82">
        <f t="shared" si="1"/>
        <v>1.7881683711411678</v>
      </c>
      <c r="F41" s="54"/>
      <c r="G41" s="68"/>
    </row>
    <row r="42" spans="1:7" ht="15" x14ac:dyDescent="0.3">
      <c r="A42" s="80">
        <v>2012</v>
      </c>
      <c r="B42" s="98">
        <f>'Extreme data'!D59</f>
        <v>59</v>
      </c>
      <c r="C42" s="82">
        <f t="shared" si="1"/>
        <v>1.7708520116421442</v>
      </c>
      <c r="F42" s="54"/>
      <c r="G42" s="68"/>
    </row>
    <row r="43" spans="1:7" ht="15" x14ac:dyDescent="0.3">
      <c r="A43" s="80">
        <v>2013</v>
      </c>
      <c r="B43" s="98">
        <f>'Extreme data'!D60</f>
        <v>32</v>
      </c>
      <c r="C43" s="82">
        <f t="shared" si="1"/>
        <v>1.505149978319906</v>
      </c>
      <c r="F43" s="54"/>
      <c r="G43" s="68"/>
    </row>
    <row r="44" spans="1:7" ht="15" x14ac:dyDescent="0.3">
      <c r="A44" s="80">
        <v>2014</v>
      </c>
      <c r="B44" s="98">
        <f>'Extreme data'!D61</f>
        <v>18.399999999999999</v>
      </c>
      <c r="C44" s="82">
        <f t="shared" si="1"/>
        <v>1.2648178230095364</v>
      </c>
      <c r="F44" s="54"/>
      <c r="G44" s="68"/>
    </row>
    <row r="45" spans="1:7" ht="15" x14ac:dyDescent="0.3">
      <c r="A45" s="80">
        <v>2015</v>
      </c>
      <c r="B45" s="98">
        <f>'Extreme data'!D62</f>
        <v>56</v>
      </c>
      <c r="C45" s="82">
        <f t="shared" si="1"/>
        <v>1.7481880270062005</v>
      </c>
      <c r="F45" s="54"/>
      <c r="G45" s="68"/>
    </row>
    <row r="46" spans="1:7" ht="15" x14ac:dyDescent="0.3">
      <c r="A46" s="96"/>
      <c r="B46" s="96"/>
      <c r="C46" s="96"/>
      <c r="F46" s="54"/>
      <c r="G46" s="68"/>
    </row>
    <row r="47" spans="1:7" x14ac:dyDescent="0.3">
      <c r="A47" s="69"/>
      <c r="B47" s="70"/>
      <c r="C47" s="70"/>
      <c r="G47" s="71"/>
    </row>
    <row r="48" spans="1:7" x14ac:dyDescent="0.3">
      <c r="A48" s="69"/>
      <c r="B48" s="70"/>
      <c r="C48" s="70"/>
      <c r="G48" s="71"/>
    </row>
    <row r="49" spans="1:17" x14ac:dyDescent="0.3">
      <c r="A49" s="69"/>
      <c r="B49" s="70"/>
      <c r="C49" s="70"/>
      <c r="G49" s="71"/>
    </row>
    <row r="50" spans="1:17" x14ac:dyDescent="0.3">
      <c r="A50" s="69"/>
      <c r="B50" s="70"/>
      <c r="C50" s="70"/>
      <c r="G50" s="71"/>
    </row>
    <row r="51" spans="1:17" x14ac:dyDescent="0.3">
      <c r="A51" s="69"/>
      <c r="B51" s="70"/>
      <c r="C51" s="70"/>
      <c r="G51" s="71"/>
    </row>
    <row r="52" spans="1:17" x14ac:dyDescent="0.3">
      <c r="A52" s="69"/>
      <c r="B52" s="70"/>
      <c r="C52" s="70"/>
      <c r="G52" s="71"/>
    </row>
    <row r="53" spans="1:17" x14ac:dyDescent="0.3">
      <c r="B53" s="70"/>
      <c r="C53" s="70"/>
    </row>
    <row r="54" spans="1:17" ht="15" x14ac:dyDescent="0.3">
      <c r="A54" s="363" t="s">
        <v>19</v>
      </c>
      <c r="B54" s="363"/>
      <c r="C54" s="363"/>
      <c r="D54" s="28"/>
      <c r="E54" s="28"/>
      <c r="F54" s="28"/>
      <c r="G54" s="35"/>
      <c r="H54" s="28"/>
      <c r="I54" s="28"/>
      <c r="J54" s="28"/>
      <c r="K54" s="28"/>
      <c r="L54" s="28"/>
    </row>
    <row r="55" spans="1:17" ht="16.5" x14ac:dyDescent="0.35">
      <c r="A55" s="36" t="s">
        <v>20</v>
      </c>
      <c r="B55" s="37">
        <f>AVERAGE($B$12:$B$45)</f>
        <v>45.576470588235296</v>
      </c>
      <c r="C55" s="37">
        <f>AVERAGE($C$12:$C$45)</f>
        <v>1.6291792455860203</v>
      </c>
      <c r="D55" s="36" t="s">
        <v>52</v>
      </c>
      <c r="E55" s="28"/>
      <c r="F55" s="28"/>
      <c r="G55" s="38"/>
      <c r="H55" s="28"/>
      <c r="I55" s="39"/>
      <c r="J55" s="39"/>
      <c r="K55" s="28"/>
      <c r="L55" s="28"/>
    </row>
    <row r="56" spans="1:17" ht="15" x14ac:dyDescent="0.3">
      <c r="A56" s="36" t="s">
        <v>21</v>
      </c>
      <c r="B56" s="37">
        <f>STDEV($B$12:$B$45)</f>
        <v>16.071168591395221</v>
      </c>
      <c r="C56" s="37">
        <f>STDEV($C$12:$C$45)</f>
        <v>0.16949921850255537</v>
      </c>
      <c r="D56" s="36" t="s">
        <v>22</v>
      </c>
      <c r="E56" s="28"/>
      <c r="F56" s="28"/>
      <c r="G56" s="28"/>
      <c r="H56" s="28"/>
      <c r="I56" s="39"/>
      <c r="J56" s="39"/>
      <c r="K56" s="28"/>
      <c r="L56" s="28"/>
    </row>
    <row r="57" spans="1:17" ht="16.5" x14ac:dyDescent="0.35">
      <c r="A57" s="36" t="s">
        <v>23</v>
      </c>
      <c r="B57" s="37">
        <f>SKEW($B$12:$B$45)</f>
        <v>0.21341013353162433</v>
      </c>
      <c r="C57" s="37">
        <f>SKEW($C$12:$C$45)</f>
        <v>-0.6324406688580142</v>
      </c>
      <c r="D57" s="36" t="s">
        <v>53</v>
      </c>
      <c r="E57" s="28"/>
      <c r="F57" s="28"/>
      <c r="G57" s="28"/>
      <c r="H57" s="28"/>
      <c r="I57" s="39"/>
      <c r="J57" s="39"/>
      <c r="K57" s="28"/>
      <c r="L57" s="28"/>
    </row>
    <row r="58" spans="1:17" ht="15" x14ac:dyDescent="0.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7" ht="13.5" customHeight="1" x14ac:dyDescent="0.3">
      <c r="A59" s="363" t="s">
        <v>24</v>
      </c>
      <c r="B59" s="363"/>
      <c r="C59" s="363"/>
      <c r="D59" s="363"/>
      <c r="E59" s="363"/>
      <c r="F59" s="363"/>
      <c r="G59" s="363"/>
      <c r="H59" s="363"/>
      <c r="I59" s="363"/>
      <c r="J59" s="363"/>
      <c r="K59" s="363"/>
    </row>
    <row r="60" spans="1:17" ht="13.5" customHeight="1" x14ac:dyDescent="0.3">
      <c r="A60" s="373" t="s">
        <v>246</v>
      </c>
      <c r="B60" s="373"/>
      <c r="C60" s="373"/>
      <c r="D60" s="373"/>
      <c r="E60" s="373"/>
      <c r="F60" s="373"/>
      <c r="G60" s="373"/>
      <c r="H60" s="373"/>
      <c r="I60" s="373"/>
      <c r="J60" s="373"/>
      <c r="K60" s="374"/>
      <c r="L60" s="83"/>
    </row>
    <row r="61" spans="1:17" ht="15" x14ac:dyDescent="0.3">
      <c r="A61" s="366" t="s">
        <v>25</v>
      </c>
      <c r="B61" s="367" t="s">
        <v>26</v>
      </c>
      <c r="C61" s="367"/>
      <c r="D61" s="372" t="s">
        <v>8</v>
      </c>
      <c r="E61" s="372"/>
      <c r="F61" s="372"/>
      <c r="G61" s="372" t="s">
        <v>27</v>
      </c>
      <c r="H61" s="372"/>
      <c r="I61" s="372"/>
      <c r="J61" s="372" t="s">
        <v>7</v>
      </c>
      <c r="K61" s="372"/>
      <c r="L61" s="83"/>
    </row>
    <row r="62" spans="1:17" ht="16.5" x14ac:dyDescent="0.35">
      <c r="A62" s="366"/>
      <c r="B62" s="41" t="s">
        <v>28</v>
      </c>
      <c r="C62" s="41" t="s">
        <v>29</v>
      </c>
      <c r="D62" s="41" t="s">
        <v>30</v>
      </c>
      <c r="E62" s="41" t="s">
        <v>54</v>
      </c>
      <c r="F62" s="41" t="s">
        <v>31</v>
      </c>
      <c r="G62" s="41" t="s">
        <v>55</v>
      </c>
      <c r="H62" s="41" t="s">
        <v>54</v>
      </c>
      <c r="I62" s="41" t="s">
        <v>31</v>
      </c>
      <c r="J62" s="41" t="s">
        <v>32</v>
      </c>
      <c r="K62" s="41" t="s">
        <v>33</v>
      </c>
      <c r="L62" s="84"/>
    </row>
    <row r="63" spans="1:17" ht="15" x14ac:dyDescent="0.3">
      <c r="A63" s="62">
        <v>1</v>
      </c>
      <c r="B63" s="42">
        <f>1/A63</f>
        <v>1</v>
      </c>
      <c r="C63" s="42">
        <f>SQRT(LN(1/B63^2))</f>
        <v>0</v>
      </c>
      <c r="D63" s="42">
        <f t="shared" ref="D63:D75" si="2">C63-((2.51557+0.80285*C63+0.010328*C63^2)/(1+1.432788*C63+0.189269*C63^2+0.001308*C63^3))</f>
        <v>-2.5155699999999999</v>
      </c>
      <c r="E63" s="42">
        <f>$C$55+D63*$C$56</f>
        <v>1.2027920964975471</v>
      </c>
      <c r="F63" s="43">
        <f>(10)^E63</f>
        <v>15.951153579774674</v>
      </c>
      <c r="G63" s="42">
        <f>D63+(D63^2-1)*($C$57/6)+((D63^3-6*D63)*($C$57/6)^2)/3-(D63^2-1)*($C$57/6)^3+D63*($C$57/6)^4+1/3*($C$57/6)^5</f>
        <v>-3.0743187014096787</v>
      </c>
      <c r="H63" s="42">
        <f>$C$55+G63*$C$56</f>
        <v>1.1080846282692889</v>
      </c>
      <c r="I63" s="43">
        <f>(10)^H63</f>
        <v>12.825804868029152</v>
      </c>
      <c r="J63" s="44"/>
      <c r="K63" s="43"/>
      <c r="Q63" s="84"/>
    </row>
    <row r="64" spans="1:17" ht="15" x14ac:dyDescent="0.3">
      <c r="A64" s="41">
        <v>2</v>
      </c>
      <c r="B64" s="42">
        <f>1/A64</f>
        <v>0.5</v>
      </c>
      <c r="C64" s="42">
        <f>SQRT(LN(1/B64^2))</f>
        <v>1.1774100225154747</v>
      </c>
      <c r="D64" s="42">
        <f t="shared" si="2"/>
        <v>-1.6861240179411041E-5</v>
      </c>
      <c r="E64" s="42">
        <f>$C$55+D64*$C$56</f>
        <v>1.6291763876189869</v>
      </c>
      <c r="F64" s="43">
        <f>(10)^E64</f>
        <v>42.577130397333633</v>
      </c>
      <c r="G64" s="42">
        <f>D64+(D64^2-1)*($C$57/6)+((D64^3-6*D64)*($C$57/6)^2)/3-(D64^2-1)*($C$57/6)^3+D64*($C$57/6)^4+1/3*($C$57/6)^5</f>
        <v>0.1042148207716613</v>
      </c>
      <c r="H64" s="42">
        <f>$C$55+G64*$C$56</f>
        <v>1.6468435762632008</v>
      </c>
      <c r="I64" s="43">
        <f>(10)^H64</f>
        <v>44.344889420037198</v>
      </c>
      <c r="J64" s="44">
        <f t="shared" ref="J64:J75" si="3">-LN(LN(A64/(A64-1)))</f>
        <v>0.36651292058166435</v>
      </c>
      <c r="K64" s="43">
        <f t="shared" ref="K64:K75" si="4">B$55-(0.577*SQRT(6)*B$56/PI())+(SQRT(6)*B$56/PI())*J64</f>
        <v>42.938933036017502</v>
      </c>
      <c r="Q64" s="84"/>
    </row>
    <row r="65" spans="1:17" ht="15" x14ac:dyDescent="0.3">
      <c r="A65" s="41">
        <v>2.33</v>
      </c>
      <c r="B65" s="42">
        <f>1/A65</f>
        <v>0.42918454935622319</v>
      </c>
      <c r="C65" s="42">
        <f>SQRT(LN(1/B65^2))</f>
        <v>1.3006677266524369</v>
      </c>
      <c r="D65" s="42">
        <f t="shared" si="2"/>
        <v>0.17808428211113303</v>
      </c>
      <c r="E65" s="42">
        <f>$C$55+D65*$C$56</f>
        <v>1.6593643922314461</v>
      </c>
      <c r="F65" s="43">
        <f>(10)^E65</f>
        <v>45.641971161295515</v>
      </c>
      <c r="G65" s="42">
        <f>D65+(D65^2-1)*($C$57/6)+((D65^3-6*D65)*($C$57/6)^2)/3-(D65^2-1)*($C$57/6)^3+D65*($C$57/6)^4+1/3*($C$57/6)^5</f>
        <v>0.27509551888452871</v>
      </c>
      <c r="H65" s="42">
        <f>$C$55+G65*$C$56</f>
        <v>1.6758077210505029</v>
      </c>
      <c r="I65" s="43">
        <f>(10)^H65</f>
        <v>47.403206648033475</v>
      </c>
      <c r="J65" s="44">
        <f t="shared" si="3"/>
        <v>0.57858831412193601</v>
      </c>
      <c r="K65" s="43">
        <f t="shared" si="4"/>
        <v>45.59637317870736</v>
      </c>
      <c r="Q65" s="84"/>
    </row>
    <row r="66" spans="1:17" ht="15" x14ac:dyDescent="0.3">
      <c r="A66" s="41">
        <v>5</v>
      </c>
      <c r="B66" s="42">
        <f>1/A66</f>
        <v>0.2</v>
      </c>
      <c r="C66" s="42">
        <f>SQRT(LN(1/B66^2))</f>
        <v>1.7941225779941015</v>
      </c>
      <c r="D66" s="42">
        <f t="shared" si="2"/>
        <v>0.84144534566621687</v>
      </c>
      <c r="E66" s="42">
        <f>$C$55+D66*$C$56</f>
        <v>1.7718035740890568</v>
      </c>
      <c r="F66" s="43">
        <f>(10)^E66</f>
        <v>59.129413881409512</v>
      </c>
      <c r="G66" s="42">
        <f t="shared" ref="G66:G74" si="5">D66+(D66^2-1)*($C$57/6)+((D66^3-6*D66)*($C$57/6)^2)/3-(D66^2-1)*($C$57/6)^3+D66*($C$57/6)^4+1/3*($C$57/6)^5</f>
        <v>0.85548707510240374</v>
      </c>
      <c r="H66" s="42">
        <f>$C$55+G66*$C$56</f>
        <v>1.7741836362549146</v>
      </c>
      <c r="I66" s="43">
        <f>(10)^H66</f>
        <v>59.4543501119458</v>
      </c>
      <c r="J66" s="44">
        <f t="shared" si="3"/>
        <v>1.4999399867595156</v>
      </c>
      <c r="K66" s="43">
        <f t="shared" si="4"/>
        <v>57.141498143601538</v>
      </c>
      <c r="Q66" s="84"/>
    </row>
    <row r="67" spans="1:17" ht="15" x14ac:dyDescent="0.3">
      <c r="A67" s="41">
        <v>10</v>
      </c>
      <c r="B67" s="42">
        <f>1/A67</f>
        <v>0.1</v>
      </c>
      <c r="C67" s="42">
        <f>SQRT(LN(1/B67^2))</f>
        <v>2.1459660262893472</v>
      </c>
      <c r="D67" s="42">
        <f t="shared" si="2"/>
        <v>1.2817193675751226</v>
      </c>
      <c r="E67" s="42">
        <f>$C$55+D67*$C$56</f>
        <v>1.8464296767295931</v>
      </c>
      <c r="F67" s="43">
        <f>(10)^E67</f>
        <v>70.214963872933595</v>
      </c>
      <c r="G67" s="42">
        <f t="shared" si="5"/>
        <v>1.1941869970415491</v>
      </c>
      <c r="H67" s="42">
        <f>$C$55+G67*$C$56</f>
        <v>1.8315930083304763</v>
      </c>
      <c r="I67" s="43">
        <f>(10)^H67</f>
        <v>67.856742666381422</v>
      </c>
      <c r="J67" s="44">
        <f t="shared" si="3"/>
        <v>2.2503673273124449</v>
      </c>
      <c r="K67" s="43">
        <f t="shared" si="4"/>
        <v>66.544832050788926</v>
      </c>
      <c r="Q67" s="84"/>
    </row>
    <row r="68" spans="1:17" ht="15" x14ac:dyDescent="0.3">
      <c r="A68" s="41">
        <v>20</v>
      </c>
      <c r="B68" s="42">
        <f t="shared" ref="B68:B75" si="6">1/A68</f>
        <v>0.05</v>
      </c>
      <c r="C68" s="42">
        <f t="shared" ref="C68:C75" si="7">SQRT(LN(1/B68^2))</f>
        <v>2.4477468306808166</v>
      </c>
      <c r="D68" s="42">
        <f t="shared" si="2"/>
        <v>1.6452033739823797</v>
      </c>
      <c r="E68" s="42">
        <f t="shared" ref="E68:E75" si="8">$C$55+D68*$C$56</f>
        <v>1.908039931753801</v>
      </c>
      <c r="F68" s="43">
        <f t="shared" ref="F68:F75" si="9">(10)^E68</f>
        <v>80.917029594133382</v>
      </c>
      <c r="G68" s="42">
        <f t="shared" si="5"/>
        <v>1.4474374530622089</v>
      </c>
      <c r="H68" s="42">
        <f t="shared" ref="H68:H74" si="10">$C$55+G68*$C$56</f>
        <v>1.8745187627113939</v>
      </c>
      <c r="I68" s="43">
        <f t="shared" ref="I68:I74" si="11">(10)^H68</f>
        <v>74.906371941649638</v>
      </c>
      <c r="J68" s="44">
        <f t="shared" si="3"/>
        <v>2.9701952490421655</v>
      </c>
      <c r="K68" s="43">
        <f t="shared" si="4"/>
        <v>75.564735694963105</v>
      </c>
      <c r="Q68" s="84"/>
    </row>
    <row r="69" spans="1:17" ht="15" x14ac:dyDescent="0.3">
      <c r="A69" s="41">
        <v>50</v>
      </c>
      <c r="B69" s="42">
        <f t="shared" si="6"/>
        <v>0.02</v>
      </c>
      <c r="C69" s="42">
        <f t="shared" si="7"/>
        <v>2.7971496225365371</v>
      </c>
      <c r="D69" s="42">
        <f t="shared" si="2"/>
        <v>2.0541817439773808</v>
      </c>
      <c r="E69" s="42">
        <f t="shared" si="8"/>
        <v>1.9773614458524027</v>
      </c>
      <c r="F69" s="43">
        <f t="shared" si="9"/>
        <v>94.920812244672803</v>
      </c>
      <c r="G69" s="42">
        <f t="shared" si="5"/>
        <v>1.7052830547305815</v>
      </c>
      <c r="H69" s="42">
        <f t="shared" si="10"/>
        <v>1.9182233906885042</v>
      </c>
      <c r="I69" s="43">
        <f t="shared" si="11"/>
        <v>82.836814689646829</v>
      </c>
      <c r="J69" s="44">
        <f t="shared" si="3"/>
        <v>3.9019386579358333</v>
      </c>
      <c r="K69" s="43">
        <f t="shared" si="4"/>
        <v>87.240075752792762</v>
      </c>
      <c r="Q69" s="84"/>
    </row>
    <row r="70" spans="1:17" ht="15" x14ac:dyDescent="0.3">
      <c r="A70" s="45">
        <v>100</v>
      </c>
      <c r="B70" s="46">
        <f t="shared" si="6"/>
        <v>0.01</v>
      </c>
      <c r="C70" s="46">
        <f t="shared" si="7"/>
        <v>3.0348542587702929</v>
      </c>
      <c r="D70" s="46">
        <f t="shared" si="2"/>
        <v>2.3267791744716506</v>
      </c>
      <c r="E70" s="46">
        <f t="shared" si="8"/>
        <v>2.023566497286986</v>
      </c>
      <c r="F70" s="47">
        <f t="shared" si="9"/>
        <v>105.57631447132336</v>
      </c>
      <c r="G70" s="46">
        <f t="shared" si="5"/>
        <v>1.8619256217604949</v>
      </c>
      <c r="H70" s="46">
        <f t="shared" si="10"/>
        <v>1.9447741833843089</v>
      </c>
      <c r="I70" s="47">
        <f>(10)^H70</f>
        <v>88.059088017740635</v>
      </c>
      <c r="J70" s="48">
        <f t="shared" si="3"/>
        <v>4.6001492267765736</v>
      </c>
      <c r="K70" s="47">
        <f t="shared" si="4"/>
        <v>95.98910015733955</v>
      </c>
      <c r="Q70" s="84"/>
    </row>
    <row r="71" spans="1:17" ht="15" x14ac:dyDescent="0.3">
      <c r="A71" s="41">
        <v>200</v>
      </c>
      <c r="B71" s="42">
        <f t="shared" si="6"/>
        <v>5.0000000000000001E-3</v>
      </c>
      <c r="C71" s="42">
        <f t="shared" si="7"/>
        <v>3.2552472614374586</v>
      </c>
      <c r="D71" s="42">
        <f t="shared" si="2"/>
        <v>2.5762304772515181</v>
      </c>
      <c r="E71" s="42">
        <f t="shared" si="8"/>
        <v>2.0658482981626181</v>
      </c>
      <c r="F71" s="43">
        <f t="shared" si="9"/>
        <v>116.37194637625507</v>
      </c>
      <c r="G71" s="42">
        <f t="shared" si="5"/>
        <v>1.9950489913042988</v>
      </c>
      <c r="H71" s="42">
        <f t="shared" si="10"/>
        <v>1.9673384904864104</v>
      </c>
      <c r="I71" s="43">
        <f t="shared" si="11"/>
        <v>92.755247904493885</v>
      </c>
      <c r="J71" s="44">
        <f t="shared" si="3"/>
        <v>5.295812142535044</v>
      </c>
      <c r="K71" s="43">
        <f t="shared" si="4"/>
        <v>104.70620084147045</v>
      </c>
      <c r="Q71" s="84"/>
    </row>
    <row r="72" spans="1:17" ht="15" x14ac:dyDescent="0.3">
      <c r="A72" s="41">
        <v>500</v>
      </c>
      <c r="B72" s="42">
        <f t="shared" si="6"/>
        <v>2E-3</v>
      </c>
      <c r="C72" s="42">
        <f t="shared" si="7"/>
        <v>3.5255093528232742</v>
      </c>
      <c r="D72" s="42">
        <f t="shared" si="2"/>
        <v>2.8785010937925581</v>
      </c>
      <c r="E72" s="42">
        <f t="shared" si="8"/>
        <v>2.1170829314426096</v>
      </c>
      <c r="F72" s="43">
        <f t="shared" si="9"/>
        <v>130.94319439345239</v>
      </c>
      <c r="G72" s="42">
        <f t="shared" si="5"/>
        <v>2.1437829932478185</v>
      </c>
      <c r="H72" s="42">
        <f t="shared" si="10"/>
        <v>1.9925487875805945</v>
      </c>
      <c r="I72" s="43">
        <f t="shared" si="11"/>
        <v>98.298929341233631</v>
      </c>
      <c r="J72" s="44">
        <f t="shared" si="3"/>
        <v>6.213607264087516</v>
      </c>
      <c r="K72" s="43">
        <f t="shared" si="4"/>
        <v>116.20675994954684</v>
      </c>
      <c r="Q72" s="84"/>
    </row>
    <row r="73" spans="1:17" ht="15" x14ac:dyDescent="0.3">
      <c r="A73" s="41">
        <v>1000</v>
      </c>
      <c r="B73" s="42">
        <f t="shared" si="6"/>
        <v>1E-3</v>
      </c>
      <c r="C73" s="42">
        <f t="shared" si="7"/>
        <v>3.7169221888498383</v>
      </c>
      <c r="D73" s="42">
        <f t="shared" si="2"/>
        <v>3.090517579776618</v>
      </c>
      <c r="E73" s="42">
        <f t="shared" si="8"/>
        <v>2.153019560126566</v>
      </c>
      <c r="F73" s="43">
        <f t="shared" si="9"/>
        <v>142.23928486266499</v>
      </c>
      <c r="G73" s="42">
        <f t="shared" si="5"/>
        <v>2.2401921195384187</v>
      </c>
      <c r="H73" s="42">
        <f t="shared" si="10"/>
        <v>2.0088900591433654</v>
      </c>
      <c r="I73" s="43">
        <f t="shared" si="11"/>
        <v>102.06810674481247</v>
      </c>
      <c r="J73" s="44">
        <f t="shared" si="3"/>
        <v>6.907255070523628</v>
      </c>
      <c r="K73" s="43">
        <f t="shared" si="4"/>
        <v>124.89861002673202</v>
      </c>
      <c r="Q73" s="84"/>
    </row>
    <row r="74" spans="1:17" ht="15" x14ac:dyDescent="0.3">
      <c r="A74" s="41">
        <v>5000</v>
      </c>
      <c r="B74" s="42">
        <f t="shared" si="6"/>
        <v>2.0000000000000001E-4</v>
      </c>
      <c r="C74" s="42">
        <f t="shared" si="7"/>
        <v>4.1272734804992597</v>
      </c>
      <c r="D74" s="42">
        <f t="shared" si="2"/>
        <v>3.5402404913194201</v>
      </c>
      <c r="E74" s="42">
        <f t="shared" si="8"/>
        <v>2.2292472421757648</v>
      </c>
      <c r="F74" s="43">
        <f t="shared" si="9"/>
        <v>169.53026550489457</v>
      </c>
      <c r="G74" s="42">
        <f t="shared" si="5"/>
        <v>2.4241525606159238</v>
      </c>
      <c r="H74" s="42">
        <f t="shared" si="10"/>
        <v>2.040071210141388</v>
      </c>
      <c r="I74" s="43">
        <f t="shared" si="11"/>
        <v>109.66579975735466</v>
      </c>
      <c r="J74" s="44">
        <f t="shared" si="3"/>
        <v>8.5170931830821246</v>
      </c>
      <c r="K74" s="43">
        <f t="shared" si="4"/>
        <v>145.07090984959029</v>
      </c>
      <c r="Q74" s="84"/>
    </row>
    <row r="75" spans="1:17" ht="15" x14ac:dyDescent="0.3">
      <c r="A75" s="41">
        <v>10000</v>
      </c>
      <c r="B75" s="42">
        <f t="shared" si="6"/>
        <v>1E-4</v>
      </c>
      <c r="C75" s="42">
        <f t="shared" si="7"/>
        <v>4.2919320525786944</v>
      </c>
      <c r="D75" s="42">
        <f t="shared" si="2"/>
        <v>3.7191205599951926</v>
      </c>
      <c r="E75" s="42">
        <f t="shared" si="8"/>
        <v>2.2595672740219914</v>
      </c>
      <c r="F75" s="43">
        <f t="shared" si="9"/>
        <v>181.78886327982059</v>
      </c>
      <c r="G75" s="42">
        <f>D75+(D75^2-1)*($C$57/6)+((D75^3-6*D75)*($C$57/6)^2)/3-(D75^2-1)*($C$57/6)^3+D75*($C$57/6)^4+1/3*($C$57/6)^5</f>
        <v>2.4899133547357435</v>
      </c>
      <c r="H75" s="42">
        <f>$C$55+G75*$C$56</f>
        <v>2.0512176133528048</v>
      </c>
      <c r="I75" s="43">
        <f>(10)^H75</f>
        <v>112.51686246532758</v>
      </c>
      <c r="J75" s="44">
        <f t="shared" si="3"/>
        <v>9.2102903698935528</v>
      </c>
      <c r="K75" s="43">
        <f t="shared" si="4"/>
        <v>153.75711337504814</v>
      </c>
      <c r="Q75" s="84"/>
    </row>
    <row r="76" spans="1:17" x14ac:dyDescent="0.3">
      <c r="L76" s="72"/>
    </row>
    <row r="77" spans="1:17" x14ac:dyDescent="0.3">
      <c r="A77" s="364"/>
      <c r="B77" s="364"/>
      <c r="C77" s="364"/>
      <c r="D77" s="364"/>
      <c r="E77" s="364"/>
      <c r="F77" s="364"/>
      <c r="G77" s="364"/>
      <c r="H77" s="364"/>
      <c r="I77" s="364"/>
      <c r="J77" s="73"/>
      <c r="K77" s="73"/>
      <c r="L77" s="72"/>
    </row>
    <row r="78" spans="1:17" x14ac:dyDescent="0.3">
      <c r="L78" s="72"/>
    </row>
    <row r="79" spans="1:17" x14ac:dyDescent="0.3">
      <c r="L79" s="72"/>
    </row>
    <row r="81" spans="1:11" ht="13.5" hidden="1" customHeight="1" x14ac:dyDescent="0.3">
      <c r="A81" s="364"/>
      <c r="B81" s="364"/>
      <c r="C81" s="364"/>
      <c r="D81" s="364"/>
      <c r="E81" s="364"/>
      <c r="F81" s="364"/>
      <c r="G81" s="364"/>
      <c r="H81" s="364"/>
      <c r="I81" s="364"/>
      <c r="J81" s="73"/>
      <c r="K81" s="73"/>
    </row>
    <row r="82" spans="1:11" hidden="1" x14ac:dyDescent="0.3">
      <c r="A82" s="73"/>
      <c r="B82" s="73"/>
      <c r="C82" s="73"/>
      <c r="D82" s="73"/>
      <c r="E82" s="364"/>
      <c r="F82" s="364"/>
      <c r="G82" s="365"/>
      <c r="H82" s="365"/>
      <c r="I82" s="73"/>
      <c r="J82" s="73"/>
      <c r="K82" s="73"/>
    </row>
    <row r="83" spans="1:11" hidden="1" x14ac:dyDescent="0.3">
      <c r="E83" s="74"/>
      <c r="F83" s="74"/>
      <c r="G83" s="74"/>
    </row>
    <row r="84" spans="1:11" hidden="1" x14ac:dyDescent="0.3">
      <c r="E84" s="74"/>
      <c r="F84" s="74"/>
      <c r="G84" s="74"/>
    </row>
    <row r="85" spans="1:11" hidden="1" x14ac:dyDescent="0.3">
      <c r="E85" s="74"/>
      <c r="F85" s="74"/>
      <c r="G85" s="74"/>
    </row>
    <row r="86" spans="1:11" hidden="1" x14ac:dyDescent="0.3">
      <c r="E86" s="74"/>
      <c r="F86" s="74"/>
      <c r="G86" s="74"/>
    </row>
    <row r="87" spans="1:11" hidden="1" x14ac:dyDescent="0.3">
      <c r="E87" s="74"/>
      <c r="F87" s="74"/>
      <c r="G87" s="74"/>
    </row>
    <row r="88" spans="1:11" hidden="1" x14ac:dyDescent="0.3">
      <c r="E88" s="74"/>
      <c r="F88" s="74"/>
      <c r="G88" s="74"/>
    </row>
    <row r="93" spans="1:11" x14ac:dyDescent="0.3">
      <c r="G93" s="75"/>
    </row>
  </sheetData>
  <mergeCells count="13">
    <mergeCell ref="A77:I77"/>
    <mergeCell ref="A81:I81"/>
    <mergeCell ref="E82:F82"/>
    <mergeCell ref="G82:H82"/>
    <mergeCell ref="A9:C9"/>
    <mergeCell ref="A54:C54"/>
    <mergeCell ref="A59:K59"/>
    <mergeCell ref="A61:A62"/>
    <mergeCell ref="B61:C61"/>
    <mergeCell ref="D61:F61"/>
    <mergeCell ref="G61:I61"/>
    <mergeCell ref="J61:K61"/>
    <mergeCell ref="A60:K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PMF calculation</vt:lpstr>
      <vt:lpstr>Flood Summary</vt:lpstr>
      <vt:lpstr>Regional flood frequency analys</vt:lpstr>
      <vt:lpstr>CAR FFA </vt:lpstr>
      <vt:lpstr>Regional regression analysis</vt:lpstr>
      <vt:lpstr>Station Details</vt:lpstr>
      <vt:lpstr>Sabhaya (602)</vt:lpstr>
      <vt:lpstr>Flood from_Sabaya Khola</vt:lpstr>
      <vt:lpstr>Hinwa (602.5)</vt:lpstr>
      <vt:lpstr>Arun River at Turkeghat (604.5)</vt:lpstr>
      <vt:lpstr>Arun River at Uwa Gaon (600.1)</vt:lpstr>
      <vt:lpstr>Extreme data</vt:lpstr>
      <vt:lpstr>Bhakbesi.(439.35</vt:lpstr>
      <vt:lpstr>FFA_Bimalnagar</vt:lpstr>
      <vt:lpstr>Andhighat (415) </vt:lpstr>
      <vt:lpstr>'CAR FFA '!Print_Area</vt:lpstr>
      <vt:lpstr>'Flood from_Sabaya Khola'!Print_Area</vt:lpstr>
      <vt:lpstr>'Regional flood frequency analys'!Print_Area</vt:lpstr>
      <vt:lpstr>'Regional regression analysis'!Print_Area</vt:lpstr>
      <vt:lpstr>'Sabhaya (602)'!Print_Area</vt:lpstr>
      <vt:lpstr>Return100D</vt:lpstr>
      <vt:lpstr>Return2D</vt:lpstr>
    </vt:vector>
  </TitlesOfParts>
  <Company>BPC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 Division</dc:creator>
  <cp:lastModifiedBy>Shradhye Shrestha</cp:lastModifiedBy>
  <cp:lastPrinted>2018-07-10T06:05:26Z</cp:lastPrinted>
  <dcterms:created xsi:type="dcterms:W3CDTF">2007-04-06T08:27:07Z</dcterms:created>
  <dcterms:modified xsi:type="dcterms:W3CDTF">2022-02-22T05:10:07Z</dcterms:modified>
</cp:coreProperties>
</file>