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1.xml" ContentType="application/vnd.openxmlformats-officedocument.drawingml.chartshapes+xml"/>
  <Override PartName="/xl/charts/chart22.xml" ContentType="application/vnd.openxmlformats-officedocument.drawingml.chart+xml"/>
  <Override PartName="/xl/drawings/drawing22.xml" ContentType="application/vnd.openxmlformats-officedocument.drawingml.chartshapes+xml"/>
  <Override PartName="/xl/charts/chart23.xml" ContentType="application/vnd.openxmlformats-officedocument.drawingml.chart+xml"/>
  <Override PartName="/xl/drawings/drawing23.xml" ContentType="application/vnd.openxmlformats-officedocument.drawingml.chartshapes+xml"/>
  <Override PartName="/xl/charts/chart24.xml" ContentType="application/vnd.openxmlformats-officedocument.drawingml.chart+xml"/>
  <Override PartName="/xl/drawings/drawing24.xml" ContentType="application/vnd.openxmlformats-officedocument.drawingml.chartshapes+xml"/>
  <Override PartName="/xl/charts/chart25.xml" ContentType="application/vnd.openxmlformats-officedocument.drawingml.chart+xml"/>
  <Override PartName="/xl/drawings/drawing25.xml" ContentType="application/vnd.openxmlformats-officedocument.drawingml.chartshapes+xml"/>
  <Override PartName="/xl/charts/chart26.xml" ContentType="application/vnd.openxmlformats-officedocument.drawingml.chart+xml"/>
  <Override PartName="/xl/drawings/drawing26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27.xml" ContentType="application/vnd.openxmlformats-officedocument.drawingml.chartshapes+xml"/>
  <Override PartName="/xl/charts/chart30.xml" ContentType="application/vnd.openxmlformats-officedocument.drawingml.chart+xml"/>
  <Override PartName="/xl/drawings/drawing28.xml" ContentType="application/vnd.openxmlformats-officedocument.drawingml.chartshapes+xml"/>
  <Override PartName="/xl/charts/chart31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32.xml" ContentType="application/vnd.openxmlformats-officedocument.drawingml.chart+xml"/>
  <Override PartName="/xl/drawings/drawing31.xml" ContentType="application/vnd.openxmlformats-officedocument.drawingml.chartshapes+xml"/>
  <Override PartName="/xl/charts/chart33.xml" ContentType="application/vnd.openxmlformats-officedocument.drawingml.chart+xml"/>
  <Override PartName="/xl/drawings/drawing32.xml" ContentType="application/vnd.openxmlformats-officedocument.drawingml.chartshapes+xml"/>
  <Override PartName="/xl/charts/chart34.xml" ContentType="application/vnd.openxmlformats-officedocument.drawingml.chart+xml"/>
  <Override PartName="/xl/drawings/drawing33.xml" ContentType="application/vnd.openxmlformats-officedocument.drawingml.chartshapes+xml"/>
  <Override PartName="/xl/charts/chart35.xml" ContentType="application/vnd.openxmlformats-officedocument.drawingml.chart+xml"/>
  <Override PartName="/xl/drawings/drawing34.xml" ContentType="application/vnd.openxmlformats-officedocument.drawingml.chartshapes+xml"/>
  <Override PartName="/xl/charts/chart36.xml" ContentType="application/vnd.openxmlformats-officedocument.drawingml.chart+xml"/>
  <Override PartName="/xl/drawings/drawing35.xml" ContentType="application/vnd.openxmlformats-officedocument.drawingml.chartshapes+xml"/>
  <Override PartName="/xl/charts/chart37.xml" ContentType="application/vnd.openxmlformats-officedocument.drawingml.chart+xml"/>
  <Override PartName="/xl/drawings/drawing36.xml" ContentType="application/vnd.openxmlformats-officedocument.drawingml.chartshapes+xml"/>
  <Override PartName="/xl/charts/chart3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9.xml" ContentType="application/vnd.openxmlformats-officedocument.drawingml.chart+xml"/>
  <Override PartName="/xl/drawings/drawing37.xml" ContentType="application/vnd.openxmlformats-officedocument.drawingml.chartshapes+xml"/>
  <Override PartName="/xl/charts/chart40.xml" ContentType="application/vnd.openxmlformats-officedocument.drawingml.chart+xml"/>
  <Override PartName="/xl/drawings/drawing38.xml" ContentType="application/vnd.openxmlformats-officedocument.drawingml.chartshapes+xml"/>
  <Override PartName="/xl/charts/chart41.xml" ContentType="application/vnd.openxmlformats-officedocument.drawingml.chart+xml"/>
  <Override PartName="/xl/drawings/drawing39.xml" ContentType="application/vnd.openxmlformats-officedocument.drawingml.chartshapes+xml"/>
  <Override PartName="/xl/charts/chart42.xml" ContentType="application/vnd.openxmlformats-officedocument.drawingml.chart+xml"/>
  <Override PartName="/xl/drawings/drawing40.xml" ContentType="application/vnd.openxmlformats-officedocument.drawingml.chartshapes+xml"/>
  <Override PartName="/xl/charts/chart43.xml" ContentType="application/vnd.openxmlformats-officedocument.drawingml.chart+xml"/>
  <Override PartName="/xl/drawings/drawing41.xml" ContentType="application/vnd.openxmlformats-officedocument.drawingml.chartshapes+xml"/>
  <Override PartName="/xl/charts/chart44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45.xml" ContentType="application/vnd.openxmlformats-officedocument.drawingml.chart+xml"/>
  <Override PartName="/xl/drawings/drawing44.xml" ContentType="application/vnd.openxmlformats-officedocument.drawingml.chartshapes+xml"/>
  <Override PartName="/xl/charts/chart46.xml" ContentType="application/vnd.openxmlformats-officedocument.drawingml.chart+xml"/>
  <Override PartName="/xl/drawings/drawing45.xml" ContentType="application/vnd.openxmlformats-officedocument.drawingml.chartshapes+xml"/>
  <Override PartName="/xl/charts/chart47.xml" ContentType="application/vnd.openxmlformats-officedocument.drawingml.chart+xml"/>
  <Override PartName="/xl/drawings/drawing46.xml" ContentType="application/vnd.openxmlformats-officedocument.drawingml.chartshapes+xml"/>
  <Override PartName="/xl/charts/chart48.xml" ContentType="application/vnd.openxmlformats-officedocument.drawingml.chart+xml"/>
  <Override PartName="/xl/drawings/drawing47.xml" ContentType="application/vnd.openxmlformats-officedocument.drawingml.chartshapes+xml"/>
  <Override PartName="/xl/charts/chart49.xml" ContentType="application/vnd.openxmlformats-officedocument.drawingml.chart+xml"/>
  <Override PartName="/xl/drawings/drawing48.xml" ContentType="application/vnd.openxmlformats-officedocument.drawingml.chartshapes+xml"/>
  <Override PartName="/xl/charts/chart50.xml" ContentType="application/vnd.openxmlformats-officedocument.drawingml.chart+xml"/>
  <Override PartName="/xl/drawings/drawing49.xml" ContentType="application/vnd.openxmlformats-officedocument.drawingml.chartshapes+xml"/>
  <Override PartName="/xl/charts/chart51.xml" ContentType="application/vnd.openxmlformats-officedocument.drawingml.chart+xml"/>
  <Override PartName="/xl/drawings/drawing50.xml" ContentType="application/vnd.openxmlformats-officedocument.drawingml.chartshapes+xml"/>
  <Override PartName="/xl/charts/chart52.xml" ContentType="application/vnd.openxmlformats-officedocument.drawingml.chart+xml"/>
  <Override PartName="/xl/drawings/drawing51.xml" ContentType="application/vnd.openxmlformats-officedocument.drawingml.chartshapes+xml"/>
  <Override PartName="/xl/charts/chart53.xml" ContentType="application/vnd.openxmlformats-officedocument.drawingml.chart+xml"/>
  <Override PartName="/xl/drawings/drawing52.xml" ContentType="application/vnd.openxmlformats-officedocument.drawingml.chartshapes+xml"/>
  <Override PartName="/xl/charts/chart54.xml" ContentType="application/vnd.openxmlformats-officedocument.drawingml.chart+xml"/>
  <Override PartName="/xl/drawings/drawing53.xml" ContentType="application/vnd.openxmlformats-officedocument.drawingml.chartshapes+xml"/>
  <Override PartName="/xl/charts/chart55.xml" ContentType="application/vnd.openxmlformats-officedocument.drawingml.chart+xml"/>
  <Override PartName="/xl/drawings/drawing54.xml" ContentType="application/vnd.openxmlformats-officedocument.drawingml.chartshapes+xml"/>
  <Override PartName="/xl/charts/chart56.xml" ContentType="application/vnd.openxmlformats-officedocument.drawingml.chart+xml"/>
  <Override PartName="/xl/drawings/drawing55.xml" ContentType="application/vnd.openxmlformats-officedocument.drawingml.chartshapes+xml"/>
  <Override PartName="/xl/charts/chart57.xml" ContentType="application/vnd.openxmlformats-officedocument.drawingml.chart+xml"/>
  <Override PartName="/xl/drawings/drawing56.xml" ContentType="application/vnd.openxmlformats-officedocument.drawingml.chartshapes+xml"/>
  <Override PartName="/xl/charts/chart58.xml" ContentType="application/vnd.openxmlformats-officedocument.drawingml.chart+xml"/>
  <Override PartName="/xl/drawings/drawing57.xml" ContentType="application/vnd.openxmlformats-officedocument.drawingml.chartshapes+xml"/>
  <Override PartName="/xl/charts/chart59.xml" ContentType="application/vnd.openxmlformats-officedocument.drawingml.chart+xml"/>
  <Override PartName="/xl/drawings/drawing58.xml" ContentType="application/vnd.openxmlformats-officedocument.drawingml.chartshapes+xml"/>
  <Override PartName="/xl/charts/chart60.xml" ContentType="application/vnd.openxmlformats-officedocument.drawingml.chart+xml"/>
  <Override PartName="/xl/drawings/drawing59.xml" ContentType="application/vnd.openxmlformats-officedocument.drawingml.chartshapes+xml"/>
  <Override PartName="/xl/charts/chart61.xml" ContentType="application/vnd.openxmlformats-officedocument.drawingml.chart+xml"/>
  <Override PartName="/xl/drawings/drawing60.xml" ContentType="application/vnd.openxmlformats-officedocument.drawingml.chartshapes+xml"/>
  <Override PartName="/xl/charts/chart62.xml" ContentType="application/vnd.openxmlformats-officedocument.drawingml.chart+xml"/>
  <Override PartName="/xl/drawings/drawing61.xml" ContentType="application/vnd.openxmlformats-officedocument.drawingml.chartshapes+xml"/>
  <Override PartName="/xl/charts/chart63.xml" ContentType="application/vnd.openxmlformats-officedocument.drawingml.chart+xml"/>
  <Override PartName="/xl/drawings/drawing62.xml" ContentType="application/vnd.openxmlformats-officedocument.drawingml.chartshapes+xml"/>
  <Override PartName="/xl/charts/chart64.xml" ContentType="application/vnd.openxmlformats-officedocument.drawingml.chart+xml"/>
  <Override PartName="/xl/drawings/drawing63.xml" ContentType="application/vnd.openxmlformats-officedocument.drawingml.chartshapes+xml"/>
  <Override PartName="/xl/charts/chart65.xml" ContentType="application/vnd.openxmlformats-officedocument.drawingml.chart+xml"/>
  <Override PartName="/xl/drawings/drawing64.xml" ContentType="application/vnd.openxmlformats-officedocument.drawingml.chartshapes+xml"/>
  <Override PartName="/xl/charts/chart66.xml" ContentType="application/vnd.openxmlformats-officedocument.drawingml.chart+xml"/>
  <Override PartName="/xl/drawings/drawing65.xml" ContentType="application/vnd.openxmlformats-officedocument.drawingml.chartshapes+xml"/>
  <Override PartName="/xl/charts/chart67.xml" ContentType="application/vnd.openxmlformats-officedocument.drawingml.chart+xml"/>
  <Override PartName="/xl/drawings/drawing66.xml" ContentType="application/vnd.openxmlformats-officedocument.drawingml.chartshapes+xml"/>
  <Override PartName="/xl/charts/chart68.xml" ContentType="application/vnd.openxmlformats-officedocument.drawingml.chart+xml"/>
  <Override PartName="/xl/drawings/drawing67.xml" ContentType="application/vnd.openxmlformats-officedocument.drawingml.chartshapes+xml"/>
  <Override PartName="/xl/charts/chart69.xml" ContentType="application/vnd.openxmlformats-officedocument.drawingml.chart+xml"/>
  <Override PartName="/xl/drawings/drawing68.xml" ContentType="application/vnd.openxmlformats-officedocument.drawingml.chartshapes+xml"/>
  <Override PartName="/xl/charts/chart70.xml" ContentType="application/vnd.openxmlformats-officedocument.drawingml.chart+xml"/>
  <Override PartName="/xl/drawings/drawing69.xml" ContentType="application/vnd.openxmlformats-officedocument.drawingml.chartshapes+xml"/>
  <Override PartName="/xl/charts/chart71.xml" ContentType="application/vnd.openxmlformats-officedocument.drawingml.chart+xml"/>
  <Override PartName="/xl/drawings/drawing70.xml" ContentType="application/vnd.openxmlformats-officedocument.drawingml.chartshapes+xml"/>
  <Override PartName="/xl/charts/chart72.xml" ContentType="application/vnd.openxmlformats-officedocument.drawingml.chart+xml"/>
  <Override PartName="/xl/drawings/drawing71.xml" ContentType="application/vnd.openxmlformats-officedocument.drawingml.chartshapes+xml"/>
  <Override PartName="/xl/charts/chart73.xml" ContentType="application/vnd.openxmlformats-officedocument.drawingml.chart+xml"/>
  <Override PartName="/xl/drawings/drawing72.xml" ContentType="application/vnd.openxmlformats-officedocument.drawingml.chartshapes+xml"/>
  <Override PartName="/xl/charts/chart74.xml" ContentType="application/vnd.openxmlformats-officedocument.drawingml.chart+xml"/>
  <Override PartName="/xl/drawings/drawing73.xml" ContentType="application/vnd.openxmlformats-officedocument.drawingml.chartshapes+xml"/>
  <Override PartName="/xl/charts/chart75.xml" ContentType="application/vnd.openxmlformats-officedocument.drawingml.chart+xml"/>
  <Override PartName="/xl/drawings/drawing74.xml" ContentType="application/vnd.openxmlformats-officedocument.drawingml.chartshapes+xml"/>
  <Override PartName="/xl/charts/chart76.xml" ContentType="application/vnd.openxmlformats-officedocument.drawingml.chart+xml"/>
  <Override PartName="/xl/drawings/drawing75.xml" ContentType="application/vnd.openxmlformats-officedocument.drawingml.chartshapes+xml"/>
  <Override PartName="/xl/charts/chart77.xml" ContentType="application/vnd.openxmlformats-officedocument.drawingml.chart+xml"/>
  <Override PartName="/xl/drawings/drawing76.xml" ContentType="application/vnd.openxmlformats-officedocument.drawingml.chartshapes+xml"/>
  <Override PartName="/xl/charts/chart78.xml" ContentType="application/vnd.openxmlformats-officedocument.drawingml.chart+xml"/>
  <Override PartName="/xl/drawings/drawing77.xml" ContentType="application/vnd.openxmlformats-officedocument.drawingml.chartshapes+xml"/>
  <Override PartName="/xl/charts/chart79.xml" ContentType="application/vnd.openxmlformats-officedocument.drawingml.chart+xml"/>
  <Override PartName="/xl/drawings/drawing78.xml" ContentType="application/vnd.openxmlformats-officedocument.drawingml.chartshapes+xml"/>
  <Override PartName="/xl/charts/chart80.xml" ContentType="application/vnd.openxmlformats-officedocument.drawingml.chart+xml"/>
  <Override PartName="/xl/drawings/drawing79.xml" ContentType="application/vnd.openxmlformats-officedocument.drawingml.chartshapes+xml"/>
  <Override PartName="/xl/charts/chart81.xml" ContentType="application/vnd.openxmlformats-officedocument.drawingml.chart+xml"/>
  <Override PartName="/xl/drawings/drawing80.xml" ContentType="application/vnd.openxmlformats-officedocument.drawingml.chartshapes+xml"/>
  <Override PartName="/xl/charts/chart82.xml" ContentType="application/vnd.openxmlformats-officedocument.drawingml.chart+xml"/>
  <Override PartName="/xl/drawings/drawing81.xml" ContentType="application/vnd.openxmlformats-officedocument.drawingml.chartshapes+xml"/>
  <Override PartName="/xl/charts/chart83.xml" ContentType="application/vnd.openxmlformats-officedocument.drawingml.chart+xml"/>
  <Override PartName="/xl/drawings/drawing82.xml" ContentType="application/vnd.openxmlformats-officedocument.drawingml.chartshapes+xml"/>
  <Override PartName="/xl/comments1.xml" ContentType="application/vnd.openxmlformats-officedocument.spreadsheetml.comments+xml"/>
  <Override PartName="/xl/drawings/drawing83.xml" ContentType="application/vnd.openxmlformats-officedocument.drawing+xml"/>
  <Override PartName="/xl/charts/chart84.xml" ContentType="application/vnd.openxmlformats-officedocument.drawingml.chart+xml"/>
  <Override PartName="/xl/drawings/drawing84.xml" ContentType="application/vnd.openxmlformats-officedocument.drawingml.chartshapes+xml"/>
  <Override PartName="/xl/charts/chart85.xml" ContentType="application/vnd.openxmlformats-officedocument.drawingml.chart+xml"/>
  <Override PartName="/xl/drawings/drawing85.xml" ContentType="application/vnd.openxmlformats-officedocument.drawingml.chartshapes+xml"/>
  <Override PartName="/xl/charts/chart86.xml" ContentType="application/vnd.openxmlformats-officedocument.drawingml.chart+xml"/>
  <Override PartName="/xl/drawings/drawing86.xml" ContentType="application/vnd.openxmlformats-officedocument.drawingml.chartshapes+xml"/>
  <Override PartName="/xl/drawings/drawing8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suwa Khola\Revision\Hydrology\Flood Analysis\"/>
    </mc:Choice>
  </mc:AlternateContent>
  <xr:revisionPtr revIDLastSave="0" documentId="13_ncr:1_{816386D2-FB82-497F-86E1-5CDCC65DB813}" xr6:coauthVersionLast="36" xr6:coauthVersionMax="36" xr10:uidLastSave="{00000000-0000-0000-0000-000000000000}"/>
  <bookViews>
    <workbookView xWindow="0" yWindow="0" windowWidth="20490" windowHeight="7755" tabRatio="825" firstSheet="5" activeTab="8" xr2:uid="{00000000-000D-0000-FFFF-FFFF00000000}"/>
  </bookViews>
  <sheets>
    <sheet name="PMF calculation" sheetId="53" state="hidden" r:id="rId1"/>
    <sheet name="Flood Summary" sheetId="52" r:id="rId2"/>
    <sheet name="Regional flood frequency analys" sheetId="38" r:id="rId3"/>
    <sheet name="CAR FFA " sheetId="54" r:id="rId4"/>
    <sheet name="Regional regression analysis" sheetId="51" state="hidden" r:id="rId5"/>
    <sheet name="Station Details" sheetId="55" r:id="rId6"/>
    <sheet name="Sabhaya (602)" sheetId="4" r:id="rId7"/>
    <sheet name="Flood from_Sabaya Khola" sheetId="34" state="hidden" r:id="rId8"/>
    <sheet name="Hinwa (602.5)" sheetId="41" r:id="rId9"/>
    <sheet name="Arun River at Turkeghat (604.5)" sheetId="42" r:id="rId10"/>
    <sheet name="Arun River at Uwa Gaon (600.1)" sheetId="45" r:id="rId11"/>
    <sheet name="Melamchi (627.5)" sheetId="56" r:id="rId12"/>
    <sheet name="Extreme data" sheetId="40" r:id="rId13"/>
    <sheet name="Bhakbesi.(439.35" sheetId="37" state="hidden" r:id="rId14"/>
    <sheet name="FFA_Bimalnagar" sheetId="39" state="hidden" r:id="rId15"/>
    <sheet name="Andhighat (415) " sheetId="49" state="hidden" r:id="rId16"/>
  </sheets>
  <definedNames>
    <definedName name="_xlnm.Print_Area" localSheetId="3">'CAR FFA '!$A$1:$M$44</definedName>
    <definedName name="_xlnm.Print_Area" localSheetId="7">'Flood from_Sabaya Khola'!$A$1:$M$37</definedName>
    <definedName name="_xlnm.Print_Area" localSheetId="2">'Regional flood frequency analys'!$A$1:$K$180</definedName>
    <definedName name="_xlnm.Print_Area" localSheetId="4">'Regional regression analysis'!$A$1:$K$184</definedName>
    <definedName name="_xlnm.Print_Area" localSheetId="6">'Sabhaya (602)'!$A$1:$L$76</definedName>
    <definedName name="Return100D">'Flood Summary'!$B$18</definedName>
    <definedName name="Return2D">'Flood Summary'!$B$13</definedName>
  </definedNames>
  <calcPr calcId="181029"/>
</workbook>
</file>

<file path=xl/calcChain.xml><?xml version="1.0" encoding="utf-8"?>
<calcChain xmlns="http://schemas.openxmlformats.org/spreadsheetml/2006/main">
  <c r="B123" i="54" l="1" a="1"/>
  <c r="B124" i="54" s="1"/>
  <c r="B112" i="54"/>
  <c r="B110" i="54"/>
  <c r="F9" i="52"/>
  <c r="C85" i="54" a="1"/>
  <c r="C85" i="54" s="1"/>
  <c r="F85" i="54"/>
  <c r="G85" i="54"/>
  <c r="N85" i="54"/>
  <c r="B84" i="54" a="1"/>
  <c r="B84" i="54" s="1"/>
  <c r="D84" i="54"/>
  <c r="E84" i="54"/>
  <c r="F84" i="54"/>
  <c r="G84" i="54"/>
  <c r="M84" i="54"/>
  <c r="N84" i="54"/>
  <c r="B83" i="54" a="1"/>
  <c r="B83" i="54" s="1"/>
  <c r="D83" i="54"/>
  <c r="E83" i="54"/>
  <c r="F83" i="54"/>
  <c r="G83" i="54"/>
  <c r="M83" i="54"/>
  <c r="N83" i="54"/>
  <c r="I70" i="56"/>
  <c r="H70" i="56"/>
  <c r="G70" i="56"/>
  <c r="F70" i="56"/>
  <c r="E70" i="56"/>
  <c r="D70" i="56"/>
  <c r="C70" i="56"/>
  <c r="B70" i="56"/>
  <c r="C82" i="54"/>
  <c r="D82" i="54"/>
  <c r="E82" i="54"/>
  <c r="F82" i="54"/>
  <c r="G82" i="54"/>
  <c r="H82" i="54"/>
  <c r="I82" i="54"/>
  <c r="J82" i="54"/>
  <c r="K82" i="54"/>
  <c r="L82" i="54"/>
  <c r="M82" i="54"/>
  <c r="N82" i="54"/>
  <c r="B82" i="54"/>
  <c r="B85" i="54"/>
  <c r="C82" i="56"/>
  <c r="D82" i="56" s="1"/>
  <c r="B82" i="56"/>
  <c r="J82" i="56"/>
  <c r="B71" i="56"/>
  <c r="B64" i="56"/>
  <c r="B62" i="56"/>
  <c r="B11" i="56"/>
  <c r="J81" i="56"/>
  <c r="B81" i="56"/>
  <c r="C81" i="56" s="1"/>
  <c r="D81" i="56" s="1"/>
  <c r="J80" i="56"/>
  <c r="B80" i="56"/>
  <c r="C80" i="56" s="1"/>
  <c r="D80" i="56" s="1"/>
  <c r="J79" i="56"/>
  <c r="B79" i="56"/>
  <c r="C79" i="56" s="1"/>
  <c r="D79" i="56" s="1"/>
  <c r="J78" i="56"/>
  <c r="C78" i="56"/>
  <c r="D78" i="56" s="1"/>
  <c r="B78" i="56"/>
  <c r="J77" i="56"/>
  <c r="B77" i="56"/>
  <c r="C77" i="56" s="1"/>
  <c r="D77" i="56" s="1"/>
  <c r="J76" i="56"/>
  <c r="B76" i="56"/>
  <c r="C76" i="56" s="1"/>
  <c r="D76" i="56" s="1"/>
  <c r="J75" i="56"/>
  <c r="B75" i="56"/>
  <c r="C75" i="56" s="1"/>
  <c r="D75" i="56" s="1"/>
  <c r="J74" i="56"/>
  <c r="B74" i="56"/>
  <c r="C74" i="56" s="1"/>
  <c r="D74" i="56" s="1"/>
  <c r="J73" i="56"/>
  <c r="C73" i="56"/>
  <c r="D73" i="56" s="1"/>
  <c r="B73" i="56"/>
  <c r="J72" i="56"/>
  <c r="B72" i="56"/>
  <c r="C72" i="56" s="1"/>
  <c r="D72" i="56" s="1"/>
  <c r="J71" i="56"/>
  <c r="C71" i="56"/>
  <c r="D71" i="56" s="1"/>
  <c r="C53" i="56"/>
  <c r="B27" i="56"/>
  <c r="C27" i="56" s="1"/>
  <c r="B26" i="56"/>
  <c r="C26" i="56" s="1"/>
  <c r="B25" i="56"/>
  <c r="C25" i="56" s="1"/>
  <c r="B24" i="56"/>
  <c r="C24" i="56" s="1"/>
  <c r="C23" i="56"/>
  <c r="B23" i="56"/>
  <c r="B22" i="56"/>
  <c r="C22" i="56" s="1"/>
  <c r="C21" i="56"/>
  <c r="C20" i="56"/>
  <c r="B20" i="56"/>
  <c r="B19" i="56"/>
  <c r="C19" i="56" s="1"/>
  <c r="B17" i="56"/>
  <c r="C17" i="56" s="1"/>
  <c r="B16" i="56"/>
  <c r="C16" i="56" s="1"/>
  <c r="B15" i="56"/>
  <c r="C15" i="56" s="1"/>
  <c r="C14" i="56"/>
  <c r="B14" i="56"/>
  <c r="B13" i="56"/>
  <c r="A13" i="56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26" i="56" s="1"/>
  <c r="A27" i="56" s="1"/>
  <c r="B12" i="56"/>
  <c r="C12" i="56" s="1"/>
  <c r="A12" i="56"/>
  <c r="C11" i="56"/>
  <c r="B135" i="54" l="1"/>
  <c r="B123" i="54"/>
  <c r="B134" i="54"/>
  <c r="B133" i="54"/>
  <c r="B132" i="54"/>
  <c r="B131" i="54"/>
  <c r="B130" i="54"/>
  <c r="B129" i="54"/>
  <c r="B128" i="54"/>
  <c r="B127" i="54"/>
  <c r="B126" i="54"/>
  <c r="B125" i="54"/>
  <c r="C116" i="54"/>
  <c r="F117" i="54"/>
  <c r="J118" i="54"/>
  <c r="D116" i="54"/>
  <c r="G117" i="54"/>
  <c r="K118" i="54"/>
  <c r="M117" i="54"/>
  <c r="E116" i="54"/>
  <c r="H117" i="54"/>
  <c r="L118" i="54"/>
  <c r="F116" i="54"/>
  <c r="I117" i="54"/>
  <c r="M118" i="54"/>
  <c r="I118" i="54"/>
  <c r="G116" i="54"/>
  <c r="J117" i="54"/>
  <c r="N118" i="54"/>
  <c r="I116" i="54"/>
  <c r="J116" i="54"/>
  <c r="E117" i="54"/>
  <c r="H116" i="54"/>
  <c r="K117" i="54"/>
  <c r="L117" i="54"/>
  <c r="K116" i="54"/>
  <c r="N117" i="54"/>
  <c r="L116" i="54"/>
  <c r="C118" i="54"/>
  <c r="M116" i="54"/>
  <c r="D118" i="54"/>
  <c r="N116" i="54"/>
  <c r="E118" i="54"/>
  <c r="G118" i="54"/>
  <c r="D117" i="54"/>
  <c r="H118" i="54"/>
  <c r="B116" i="54"/>
  <c r="B117" i="54"/>
  <c r="F118" i="54"/>
  <c r="C117" i="54"/>
  <c r="M85" i="54"/>
  <c r="L85" i="54"/>
  <c r="K85" i="54"/>
  <c r="J85" i="54"/>
  <c r="I85" i="54"/>
  <c r="H85" i="54"/>
  <c r="E85" i="54"/>
  <c r="D85" i="54"/>
  <c r="L84" i="54"/>
  <c r="K84" i="54"/>
  <c r="J84" i="54"/>
  <c r="I84" i="54"/>
  <c r="H84" i="54"/>
  <c r="C84" i="54"/>
  <c r="L83" i="54"/>
  <c r="K83" i="54"/>
  <c r="J83" i="54"/>
  <c r="I83" i="54"/>
  <c r="H83" i="54"/>
  <c r="C83" i="54"/>
  <c r="B63" i="56"/>
  <c r="K82" i="56" s="1"/>
  <c r="C13" i="56"/>
  <c r="C63" i="56" s="1"/>
  <c r="C62" i="56" l="1"/>
  <c r="C64" i="56"/>
  <c r="G82" i="56" s="1"/>
  <c r="H82" i="56" s="1"/>
  <c r="I82" i="56" s="1"/>
  <c r="K81" i="56"/>
  <c r="K73" i="56"/>
  <c r="K76" i="56"/>
  <c r="K79" i="56"/>
  <c r="K71" i="56"/>
  <c r="K74" i="56"/>
  <c r="K77" i="56"/>
  <c r="K80" i="56"/>
  <c r="K72" i="56"/>
  <c r="K75" i="56"/>
  <c r="K78" i="56"/>
  <c r="E81" i="56" l="1"/>
  <c r="E82" i="56"/>
  <c r="F82" i="56" s="1"/>
  <c r="G76" i="56"/>
  <c r="G74" i="56"/>
  <c r="G81" i="56"/>
  <c r="H81" i="56" s="1"/>
  <c r="I81" i="56" s="1"/>
  <c r="G75" i="56"/>
  <c r="G77" i="56"/>
  <c r="G79" i="56"/>
  <c r="H79" i="56" s="1"/>
  <c r="I79" i="56" s="1"/>
  <c r="G80" i="56"/>
  <c r="G71" i="56"/>
  <c r="H71" i="56" s="1"/>
  <c r="I71" i="56" s="1"/>
  <c r="G72" i="56"/>
  <c r="G78" i="56"/>
  <c r="G73" i="56"/>
  <c r="H73" i="56" s="1"/>
  <c r="I73" i="56" s="1"/>
  <c r="E80" i="56"/>
  <c r="F80" i="56" s="1"/>
  <c r="E72" i="56"/>
  <c r="F72" i="56" s="1"/>
  <c r="H78" i="56"/>
  <c r="I78" i="56" s="1"/>
  <c r="E75" i="56"/>
  <c r="F75" i="56" s="1"/>
  <c r="E78" i="56"/>
  <c r="F78" i="56" s="1"/>
  <c r="H76" i="56"/>
  <c r="I76" i="56" s="1"/>
  <c r="F81" i="56"/>
  <c r="E73" i="56"/>
  <c r="F73" i="56" s="1"/>
  <c r="E76" i="56"/>
  <c r="F76" i="56" s="1"/>
  <c r="H74" i="56"/>
  <c r="I74" i="56" s="1"/>
  <c r="H75" i="56"/>
  <c r="I75" i="56" s="1"/>
  <c r="E79" i="56"/>
  <c r="F79" i="56" s="1"/>
  <c r="E71" i="56"/>
  <c r="F71" i="56" s="1"/>
  <c r="H77" i="56"/>
  <c r="I77" i="56" s="1"/>
  <c r="E74" i="56"/>
  <c r="F74" i="56" s="1"/>
  <c r="H80" i="56"/>
  <c r="I80" i="56" s="1"/>
  <c r="H72" i="56"/>
  <c r="I72" i="56" s="1"/>
  <c r="E77" i="56"/>
  <c r="F77" i="56" s="1"/>
  <c r="C255" i="38" l="1"/>
  <c r="D255" i="38"/>
  <c r="F255" i="38"/>
  <c r="H255" i="38"/>
  <c r="B255" i="38"/>
  <c r="C38" i="51"/>
  <c r="C254" i="51"/>
  <c r="D254" i="51"/>
  <c r="E254" i="51"/>
  <c r="F254" i="51"/>
  <c r="B254" i="51"/>
  <c r="H4" i="55"/>
  <c r="G4" i="55"/>
  <c r="G254" i="51" s="1"/>
  <c r="F4" i="55"/>
  <c r="E4" i="55"/>
  <c r="E255" i="38" s="1"/>
  <c r="G255" i="38" l="1"/>
  <c r="C319" i="38"/>
  <c r="H254" i="51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C34" i="42"/>
  <c r="B35" i="42"/>
  <c r="C35" i="42" s="1"/>
  <c r="B36" i="42"/>
  <c r="C36" i="42" s="1"/>
  <c r="B37" i="42"/>
  <c r="C37" i="42" s="1"/>
  <c r="B38" i="42"/>
  <c r="C38" i="42"/>
  <c r="B39" i="42"/>
  <c r="C39" i="42" s="1"/>
  <c r="B40" i="42"/>
  <c r="C40" i="42"/>
  <c r="B41" i="42"/>
  <c r="C41" i="42" s="1"/>
  <c r="B42" i="42"/>
  <c r="C42" i="42" s="1"/>
  <c r="B43" i="42"/>
  <c r="C43" i="42" s="1"/>
  <c r="H258" i="51"/>
  <c r="H255" i="51"/>
  <c r="H256" i="51"/>
  <c r="H257" i="51"/>
  <c r="G258" i="51"/>
  <c r="G256" i="51"/>
  <c r="G257" i="51"/>
  <c r="D258" i="51"/>
  <c r="D255" i="51"/>
  <c r="D256" i="51"/>
  <c r="D257" i="51"/>
  <c r="D253" i="51"/>
  <c r="E253" i="51"/>
  <c r="C258" i="51"/>
  <c r="C253" i="51"/>
  <c r="C255" i="51"/>
  <c r="C256" i="51"/>
  <c r="C257" i="51"/>
  <c r="C252" i="51"/>
  <c r="D252" i="51"/>
  <c r="H252" i="51"/>
  <c r="B258" i="51"/>
  <c r="B253" i="51"/>
  <c r="B255" i="51"/>
  <c r="B256" i="51"/>
  <c r="B257" i="51"/>
  <c r="B252" i="51"/>
  <c r="A126" i="51"/>
  <c r="B62" i="54"/>
  <c r="A56" i="54"/>
  <c r="A103" i="51" s="1"/>
  <c r="B38" i="54"/>
  <c r="A32" i="54"/>
  <c r="A80" i="51" s="1"/>
  <c r="A8" i="54"/>
  <c r="A55" i="51" s="1"/>
  <c r="C266" i="38"/>
  <c r="C267" i="38"/>
  <c r="C276" i="38" s="1"/>
  <c r="C268" i="38"/>
  <c r="C277" i="38" s="1"/>
  <c r="C265" i="38"/>
  <c r="C274" i="38" s="1"/>
  <c r="H256" i="38"/>
  <c r="H257" i="38"/>
  <c r="H258" i="38"/>
  <c r="H259" i="38"/>
  <c r="H253" i="38"/>
  <c r="G257" i="38"/>
  <c r="G258" i="38"/>
  <c r="F259" i="38"/>
  <c r="E254" i="38"/>
  <c r="E256" i="38"/>
  <c r="D254" i="38"/>
  <c r="D256" i="38"/>
  <c r="B265" i="38" s="1"/>
  <c r="B266" i="51" s="1"/>
  <c r="D257" i="38"/>
  <c r="B266" i="38" s="1"/>
  <c r="D258" i="38"/>
  <c r="B267" i="38" s="1"/>
  <c r="B268" i="51" s="1"/>
  <c r="D259" i="38"/>
  <c r="B268" i="38" s="1"/>
  <c r="B269" i="51" s="1"/>
  <c r="D253" i="38"/>
  <c r="C254" i="38"/>
  <c r="C256" i="38"/>
  <c r="C257" i="38"/>
  <c r="C258" i="38"/>
  <c r="C259" i="38"/>
  <c r="C253" i="38"/>
  <c r="B254" i="38"/>
  <c r="B256" i="38"/>
  <c r="A265" i="38" s="1"/>
  <c r="A266" i="51" s="1"/>
  <c r="B257" i="38"/>
  <c r="A266" i="38" s="1"/>
  <c r="A267" i="51" s="1"/>
  <c r="B258" i="38"/>
  <c r="A267" i="38" s="1"/>
  <c r="A268" i="51" s="1"/>
  <c r="B259" i="38"/>
  <c r="A268" i="38" s="1"/>
  <c r="A269" i="51" s="1"/>
  <c r="B253" i="38"/>
  <c r="B148" i="38"/>
  <c r="C148" i="38"/>
  <c r="D148" i="38"/>
  <c r="E148" i="38"/>
  <c r="F148" i="38"/>
  <c r="G148" i="38"/>
  <c r="H148" i="38"/>
  <c r="I148" i="38"/>
  <c r="J148" i="38"/>
  <c r="K148" i="38"/>
  <c r="L148" i="38"/>
  <c r="M148" i="38"/>
  <c r="N148" i="38"/>
  <c r="B149" i="38"/>
  <c r="C149" i="38"/>
  <c r="D149" i="38"/>
  <c r="E149" i="38"/>
  <c r="F149" i="38"/>
  <c r="G149" i="38"/>
  <c r="H149" i="38"/>
  <c r="I149" i="38"/>
  <c r="J149" i="38"/>
  <c r="K149" i="38"/>
  <c r="L149" i="38"/>
  <c r="M149" i="38"/>
  <c r="N149" i="38"/>
  <c r="C150" i="38"/>
  <c r="D150" i="38"/>
  <c r="E150" i="38"/>
  <c r="F150" i="38"/>
  <c r="G150" i="38"/>
  <c r="H150" i="38"/>
  <c r="I150" i="38"/>
  <c r="J150" i="38"/>
  <c r="K150" i="38"/>
  <c r="L150" i="38"/>
  <c r="M150" i="38"/>
  <c r="N150" i="38"/>
  <c r="B171" i="38"/>
  <c r="C171" i="38"/>
  <c r="D171" i="38"/>
  <c r="E171" i="38"/>
  <c r="F171" i="38"/>
  <c r="G171" i="38"/>
  <c r="H171" i="38"/>
  <c r="I171" i="38"/>
  <c r="J171" i="38"/>
  <c r="K171" i="38"/>
  <c r="L171" i="38"/>
  <c r="M171" i="38"/>
  <c r="N171" i="38"/>
  <c r="B172" i="38"/>
  <c r="C172" i="38"/>
  <c r="D172" i="38"/>
  <c r="E172" i="38"/>
  <c r="F172" i="38"/>
  <c r="G172" i="38"/>
  <c r="H172" i="38"/>
  <c r="I172" i="38"/>
  <c r="J172" i="38"/>
  <c r="K172" i="38"/>
  <c r="L172" i="38"/>
  <c r="M172" i="38"/>
  <c r="N172" i="38"/>
  <c r="C173" i="38"/>
  <c r="D173" i="38"/>
  <c r="E173" i="38"/>
  <c r="F173" i="38"/>
  <c r="G173" i="38"/>
  <c r="H173" i="38"/>
  <c r="I173" i="38"/>
  <c r="J173" i="38"/>
  <c r="K173" i="38"/>
  <c r="L173" i="38"/>
  <c r="M173" i="38"/>
  <c r="N173" i="38"/>
  <c r="B194" i="38"/>
  <c r="C194" i="38"/>
  <c r="D194" i="38"/>
  <c r="E194" i="38"/>
  <c r="F194" i="38"/>
  <c r="G194" i="38"/>
  <c r="H194" i="38"/>
  <c r="I194" i="38"/>
  <c r="J194" i="38"/>
  <c r="K194" i="38"/>
  <c r="L194" i="38"/>
  <c r="M194" i="38"/>
  <c r="N194" i="38"/>
  <c r="B195" i="38"/>
  <c r="C195" i="38"/>
  <c r="D195" i="38"/>
  <c r="E195" i="38"/>
  <c r="F195" i="38"/>
  <c r="G195" i="38"/>
  <c r="H195" i="38"/>
  <c r="I195" i="38"/>
  <c r="J195" i="38"/>
  <c r="K195" i="38"/>
  <c r="L195" i="38"/>
  <c r="M195" i="38"/>
  <c r="N195" i="38"/>
  <c r="C196" i="38"/>
  <c r="D196" i="38"/>
  <c r="E196" i="38"/>
  <c r="F196" i="38"/>
  <c r="G196" i="38"/>
  <c r="H196" i="38"/>
  <c r="I196" i="38"/>
  <c r="J196" i="38"/>
  <c r="K196" i="38"/>
  <c r="L196" i="38"/>
  <c r="M196" i="38"/>
  <c r="N196" i="38"/>
  <c r="B222" i="38"/>
  <c r="C222" i="38"/>
  <c r="D222" i="38"/>
  <c r="E222" i="38"/>
  <c r="F222" i="38"/>
  <c r="G222" i="38"/>
  <c r="H222" i="38"/>
  <c r="I222" i="38"/>
  <c r="J222" i="38"/>
  <c r="K222" i="38"/>
  <c r="L222" i="38"/>
  <c r="M222" i="38"/>
  <c r="N222" i="38"/>
  <c r="B223" i="38"/>
  <c r="C223" i="38"/>
  <c r="D223" i="38"/>
  <c r="E223" i="38"/>
  <c r="F223" i="38"/>
  <c r="G223" i="38"/>
  <c r="H223" i="38"/>
  <c r="I223" i="38"/>
  <c r="J223" i="38"/>
  <c r="K223" i="38"/>
  <c r="L223" i="38"/>
  <c r="M223" i="38"/>
  <c r="N223" i="38"/>
  <c r="C224" i="38"/>
  <c r="D224" i="38"/>
  <c r="E224" i="38"/>
  <c r="F224" i="38"/>
  <c r="G224" i="38"/>
  <c r="H224" i="38"/>
  <c r="I224" i="38"/>
  <c r="J224" i="38"/>
  <c r="K224" i="38"/>
  <c r="L224" i="38"/>
  <c r="M224" i="38"/>
  <c r="N224" i="38"/>
  <c r="H3" i="55"/>
  <c r="H253" i="51" s="1"/>
  <c r="G3" i="55"/>
  <c r="G254" i="38" s="1"/>
  <c r="F3" i="55"/>
  <c r="F253" i="51" s="1"/>
  <c r="E3" i="55"/>
  <c r="F6" i="55"/>
  <c r="F256" i="51" s="1"/>
  <c r="E6" i="55"/>
  <c r="E257" i="38" s="1"/>
  <c r="F7" i="55"/>
  <c r="F257" i="51" s="1"/>
  <c r="E7" i="55"/>
  <c r="E258" i="38" s="1"/>
  <c r="G8" i="55"/>
  <c r="G259" i="38" s="1"/>
  <c r="F8" i="55"/>
  <c r="F258" i="51" s="1"/>
  <c r="E8" i="55"/>
  <c r="E259" i="38" s="1"/>
  <c r="E5" i="55"/>
  <c r="E255" i="51" s="1"/>
  <c r="G5" i="55"/>
  <c r="G256" i="38" s="1"/>
  <c r="F5" i="55"/>
  <c r="F255" i="51" s="1"/>
  <c r="G2" i="55"/>
  <c r="E2" i="55" s="1"/>
  <c r="E253" i="38" s="1"/>
  <c r="F2" i="55"/>
  <c r="F252" i="51" s="1"/>
  <c r="G253" i="38" l="1"/>
  <c r="G255" i="51"/>
  <c r="F253" i="38"/>
  <c r="H254" i="38"/>
  <c r="G253" i="51"/>
  <c r="F258" i="38"/>
  <c r="F257" i="38"/>
  <c r="F256" i="38"/>
  <c r="G252" i="51"/>
  <c r="E257" i="51"/>
  <c r="F254" i="38"/>
  <c r="E256" i="51"/>
  <c r="E252" i="51"/>
  <c r="E258" i="51"/>
  <c r="C275" i="38"/>
  <c r="C267" i="51"/>
  <c r="D266" i="38"/>
  <c r="D267" i="51" s="1"/>
  <c r="D265" i="38"/>
  <c r="D266" i="51" s="1"/>
  <c r="C266" i="51"/>
  <c r="D268" i="38"/>
  <c r="D269" i="51" s="1"/>
  <c r="C269" i="51"/>
  <c r="D267" i="38"/>
  <c r="D268" i="51" s="1"/>
  <c r="B267" i="51"/>
  <c r="C268" i="51"/>
  <c r="B47" i="42"/>
  <c r="B48" i="42"/>
  <c r="B49" i="42"/>
  <c r="B14" i="45" l="1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13" i="45"/>
  <c r="B12" i="45"/>
  <c r="B41" i="45" l="1"/>
  <c r="B39" i="45"/>
  <c r="B40" i="45"/>
  <c r="C17" i="42"/>
  <c r="C18" i="42"/>
  <c r="C19" i="42"/>
  <c r="C20" i="42"/>
  <c r="C21" i="42"/>
  <c r="C22" i="42"/>
  <c r="C23" i="42"/>
  <c r="C24" i="42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C30" i="41" s="1"/>
  <c r="B31" i="41"/>
  <c r="C31" i="41" s="1"/>
  <c r="B32" i="41"/>
  <c r="C32" i="41" s="1"/>
  <c r="B33" i="41"/>
  <c r="C33" i="41" s="1"/>
  <c r="B34" i="41"/>
  <c r="C34" i="41" s="1"/>
  <c r="B35" i="41"/>
  <c r="C35" i="41" s="1"/>
  <c r="B36" i="41"/>
  <c r="C36" i="41" s="1"/>
  <c r="B37" i="41"/>
  <c r="C37" i="41" s="1"/>
  <c r="B38" i="41"/>
  <c r="C38" i="41" s="1"/>
  <c r="B39" i="41"/>
  <c r="C39" i="41" s="1"/>
  <c r="B40" i="41"/>
  <c r="C40" i="41" s="1"/>
  <c r="B41" i="41"/>
  <c r="C41" i="41" s="1"/>
  <c r="B42" i="41"/>
  <c r="C42" i="41" s="1"/>
  <c r="B43" i="41"/>
  <c r="C43" i="41" s="1"/>
  <c r="B44" i="41"/>
  <c r="C44" i="41" s="1"/>
  <c r="B45" i="41"/>
  <c r="C45" i="41" s="1"/>
  <c r="B13" i="41"/>
  <c r="B14" i="41"/>
  <c r="B15" i="41"/>
  <c r="B16" i="41"/>
  <c r="B17" i="41"/>
  <c r="B12" i="41"/>
  <c r="B57" i="41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13" i="4"/>
  <c r="B14" i="4"/>
  <c r="B15" i="4"/>
  <c r="B17" i="4"/>
  <c r="B19" i="4"/>
  <c r="B20" i="4"/>
  <c r="B21" i="4"/>
  <c r="B22" i="4"/>
  <c r="B23" i="4"/>
  <c r="B24" i="4"/>
  <c r="B25" i="4"/>
  <c r="B26" i="4"/>
  <c r="B27" i="4"/>
  <c r="B29" i="4"/>
  <c r="B30" i="4"/>
  <c r="B31" i="4"/>
  <c r="B32" i="4"/>
  <c r="B33" i="4"/>
  <c r="B34" i="4"/>
  <c r="B35" i="4"/>
  <c r="B36" i="4"/>
  <c r="B37" i="4"/>
  <c r="B38" i="4"/>
  <c r="B39" i="4"/>
  <c r="B12" i="4"/>
  <c r="B28" i="4"/>
  <c r="B18" i="4"/>
  <c r="B16" i="4"/>
  <c r="B57" i="4" l="1"/>
  <c r="B55" i="41"/>
  <c r="B56" i="41"/>
  <c r="B58" i="4"/>
  <c r="B56" i="4"/>
  <c r="B141" i="54"/>
  <c r="B140" i="54"/>
  <c r="B142" i="54" l="1"/>
  <c r="M144" i="54" l="1"/>
  <c r="M145" i="54" s="1"/>
  <c r="N144" i="54"/>
  <c r="N145" i="54" s="1"/>
  <c r="B293" i="38" l="1"/>
  <c r="D11" i="53"/>
  <c r="A6" i="38"/>
  <c r="B3" i="38"/>
  <c r="M227" i="51" l="1"/>
  <c r="E227" i="51"/>
  <c r="H227" i="51"/>
  <c r="J227" i="51"/>
  <c r="K227" i="51"/>
  <c r="G227" i="51"/>
  <c r="L227" i="51"/>
  <c r="D227" i="51"/>
  <c r="C227" i="51"/>
  <c r="I227" i="51"/>
  <c r="N227" i="51"/>
  <c r="F227" i="51"/>
  <c r="D226" i="51" l="1"/>
  <c r="N226" i="51"/>
  <c r="C226" i="51"/>
  <c r="K225" i="51"/>
  <c r="F225" i="51"/>
  <c r="G226" i="51"/>
  <c r="E225" i="51"/>
  <c r="M225" i="51"/>
  <c r="J226" i="51"/>
  <c r="H225" i="51"/>
  <c r="L226" i="51"/>
  <c r="B225" i="51"/>
  <c r="C225" i="51"/>
  <c r="H226" i="51"/>
  <c r="N225" i="51"/>
  <c r="B226" i="51"/>
  <c r="K226" i="51"/>
  <c r="G225" i="51"/>
  <c r="J225" i="51"/>
  <c r="M226" i="51"/>
  <c r="E226" i="51"/>
  <c r="I225" i="51"/>
  <c r="F226" i="51"/>
  <c r="D225" i="51"/>
  <c r="L225" i="51"/>
  <c r="I226" i="51" l="1"/>
  <c r="Z315" i="51" l="1"/>
  <c r="U315" i="51"/>
  <c r="K293" i="38"/>
  <c r="L293" i="38"/>
  <c r="M115" i="54"/>
  <c r="N115" i="54"/>
  <c r="C35" i="54" l="1"/>
  <c r="D35" i="54"/>
  <c r="E35" i="54"/>
  <c r="F35" i="54"/>
  <c r="G35" i="54"/>
  <c r="H35" i="54"/>
  <c r="I35" i="54"/>
  <c r="J35" i="54"/>
  <c r="K35" i="54"/>
  <c r="L35" i="54"/>
  <c r="B35" i="54"/>
  <c r="B14" i="54"/>
  <c r="J114" i="54" l="1"/>
  <c r="J59" i="54"/>
  <c r="F114" i="54"/>
  <c r="F144" i="54" s="1"/>
  <c r="F145" i="54" s="1"/>
  <c r="F59" i="54"/>
  <c r="B114" i="54"/>
  <c r="B59" i="54"/>
  <c r="I114" i="54"/>
  <c r="I115" i="54" s="1"/>
  <c r="I59" i="54"/>
  <c r="E114" i="54"/>
  <c r="E59" i="54"/>
  <c r="L114" i="54"/>
  <c r="L144" i="54" s="1"/>
  <c r="L145" i="54" s="1"/>
  <c r="L59" i="54"/>
  <c r="H114" i="54"/>
  <c r="H115" i="54" s="1"/>
  <c r="H59" i="54"/>
  <c r="D114" i="54"/>
  <c r="D59" i="54"/>
  <c r="K114" i="54"/>
  <c r="K59" i="54"/>
  <c r="G114" i="54"/>
  <c r="G144" i="54" s="1"/>
  <c r="G145" i="54" s="1"/>
  <c r="G59" i="54"/>
  <c r="C114" i="54"/>
  <c r="C59" i="54"/>
  <c r="J144" i="54"/>
  <c r="J145" i="54" s="1"/>
  <c r="J115" i="54"/>
  <c r="B144" i="54"/>
  <c r="B145" i="54" s="1"/>
  <c r="B115" i="54"/>
  <c r="K144" i="54"/>
  <c r="K145" i="54" s="1"/>
  <c r="K115" i="54"/>
  <c r="G115" i="54"/>
  <c r="C115" i="54"/>
  <c r="D115" i="54" l="1"/>
  <c r="H144" i="54"/>
  <c r="H145" i="54" s="1"/>
  <c r="E115" i="54"/>
  <c r="L115" i="54"/>
  <c r="F115" i="54"/>
  <c r="I144" i="54"/>
  <c r="I145" i="54" s="1"/>
  <c r="N314" i="38"/>
  <c r="B52" i="53"/>
  <c r="B55" i="53" s="1"/>
  <c r="B37" i="53"/>
  <c r="B42" i="53" s="1"/>
  <c r="B36" i="53"/>
  <c r="B41" i="53" s="1"/>
  <c r="D27" i="53"/>
  <c r="D26" i="53"/>
  <c r="D25" i="53"/>
  <c r="D24" i="53"/>
  <c r="D23" i="53"/>
  <c r="D22" i="53"/>
  <c r="D21" i="53"/>
  <c r="D20" i="53"/>
  <c r="D19" i="53"/>
  <c r="D18" i="53"/>
  <c r="D17" i="53"/>
  <c r="D16" i="53"/>
  <c r="D15" i="53"/>
  <c r="D14" i="53"/>
  <c r="D13" i="53"/>
  <c r="D12" i="53"/>
  <c r="D10" i="53"/>
  <c r="D9" i="53"/>
  <c r="Z279" i="51" l="1"/>
  <c r="P291" i="51"/>
  <c r="U291" i="51"/>
  <c r="Z291" i="51"/>
  <c r="P303" i="51"/>
  <c r="U303" i="51"/>
  <c r="Z303" i="51"/>
  <c r="P315" i="51"/>
  <c r="U279" i="51"/>
  <c r="P279" i="51"/>
  <c r="B278" i="51" l="1"/>
  <c r="A278" i="51"/>
  <c r="B275" i="51"/>
  <c r="A275" i="51"/>
  <c r="B276" i="51"/>
  <c r="A276" i="51"/>
  <c r="B277" i="51"/>
  <c r="A277" i="51"/>
  <c r="C278" i="51"/>
  <c r="C275" i="51"/>
  <c r="C276" i="51"/>
  <c r="C277" i="51"/>
  <c r="B48" i="37" l="1"/>
  <c r="C48" i="37" s="1"/>
  <c r="B49" i="37"/>
  <c r="C49" i="37" s="1"/>
  <c r="B50" i="37"/>
  <c r="C50" i="37" s="1"/>
  <c r="B51" i="37"/>
  <c r="C51" i="37" s="1"/>
  <c r="B52" i="37"/>
  <c r="C52" i="37" s="1"/>
  <c r="B53" i="37"/>
  <c r="C53" i="37" s="1"/>
  <c r="C293" i="38" l="1"/>
  <c r="D293" i="38"/>
  <c r="E293" i="38"/>
  <c r="F293" i="38"/>
  <c r="G293" i="38"/>
  <c r="H293" i="38"/>
  <c r="I293" i="38"/>
  <c r="J293" i="38"/>
  <c r="A275" i="38" l="1"/>
  <c r="A283" i="38" s="1"/>
  <c r="A296" i="38" s="1"/>
  <c r="B275" i="38"/>
  <c r="B283" i="38" s="1"/>
  <c r="A276" i="38"/>
  <c r="A284" i="38" s="1"/>
  <c r="A297" i="38" s="1"/>
  <c r="B276" i="38"/>
  <c r="B284" i="38" s="1"/>
  <c r="A277" i="38"/>
  <c r="A285" i="38" s="1"/>
  <c r="A298" i="38" s="1"/>
  <c r="B277" i="38"/>
  <c r="B285" i="38" s="1"/>
  <c r="B274" i="38"/>
  <c r="B282" i="38" s="1"/>
  <c r="A274" i="38"/>
  <c r="A282" i="38" s="1"/>
  <c r="A295" i="38" s="1"/>
  <c r="C283" i="38"/>
  <c r="C284" i="38"/>
  <c r="C285" i="38"/>
  <c r="C282" i="38" l="1"/>
  <c r="E153" i="51" l="1"/>
  <c r="K153" i="51"/>
  <c r="D153" i="51"/>
  <c r="J153" i="51"/>
  <c r="L154" i="51"/>
  <c r="K154" i="51"/>
  <c r="J154" i="51"/>
  <c r="I154" i="51"/>
  <c r="H154" i="51"/>
  <c r="G154" i="51"/>
  <c r="F154" i="51"/>
  <c r="E154" i="51"/>
  <c r="D154" i="51"/>
  <c r="C154" i="51"/>
  <c r="L153" i="51"/>
  <c r="I153" i="51"/>
  <c r="H153" i="51"/>
  <c r="G153" i="51"/>
  <c r="F153" i="51"/>
  <c r="C153" i="51"/>
  <c r="L152" i="51"/>
  <c r="K152" i="51"/>
  <c r="J152" i="51"/>
  <c r="I152" i="51"/>
  <c r="H152" i="51"/>
  <c r="G152" i="51"/>
  <c r="F152" i="51"/>
  <c r="E152" i="51"/>
  <c r="C152" i="51"/>
  <c r="D152" i="51"/>
  <c r="B152" i="51"/>
  <c r="L200" i="51"/>
  <c r="K200" i="51"/>
  <c r="J200" i="51"/>
  <c r="I200" i="51"/>
  <c r="H200" i="51"/>
  <c r="G200" i="51"/>
  <c r="F200" i="51"/>
  <c r="E200" i="51"/>
  <c r="D200" i="51"/>
  <c r="C200" i="51"/>
  <c r="B153" i="51" l="1"/>
  <c r="E198" i="51"/>
  <c r="E199" i="51"/>
  <c r="H199" i="51"/>
  <c r="I198" i="51"/>
  <c r="N200" i="51"/>
  <c r="N153" i="51"/>
  <c r="N154" i="51"/>
  <c r="N198" i="51"/>
  <c r="C199" i="51"/>
  <c r="M152" i="51"/>
  <c r="K199" i="51"/>
  <c r="I199" i="51"/>
  <c r="J199" i="51"/>
  <c r="M200" i="51"/>
  <c r="G199" i="51"/>
  <c r="B199" i="51"/>
  <c r="N152" i="51"/>
  <c r="M153" i="51"/>
  <c r="M154" i="51"/>
  <c r="C198" i="51"/>
  <c r="G198" i="51"/>
  <c r="K198" i="51"/>
  <c r="D198" i="51"/>
  <c r="L198" i="51"/>
  <c r="L199" i="51" l="1"/>
  <c r="N199" i="51"/>
  <c r="J198" i="51"/>
  <c r="B198" i="51"/>
  <c r="F199" i="51"/>
  <c r="H198" i="51"/>
  <c r="M199" i="51"/>
  <c r="M198" i="51"/>
  <c r="F198" i="51"/>
  <c r="D199" i="51"/>
  <c r="C16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14" i="45"/>
  <c r="C17" i="45"/>
  <c r="G68" i="45"/>
  <c r="E68" i="45"/>
  <c r="J59" i="45"/>
  <c r="B59" i="45"/>
  <c r="C59" i="45" s="1"/>
  <c r="D59" i="45" s="1"/>
  <c r="J58" i="45"/>
  <c r="B58" i="45"/>
  <c r="C58" i="45" s="1"/>
  <c r="D58" i="45" s="1"/>
  <c r="J57" i="45"/>
  <c r="B57" i="45"/>
  <c r="C57" i="45" s="1"/>
  <c r="D57" i="45" s="1"/>
  <c r="J56" i="45"/>
  <c r="B56" i="45"/>
  <c r="C56" i="45" s="1"/>
  <c r="D56" i="45" s="1"/>
  <c r="J55" i="45"/>
  <c r="B55" i="45"/>
  <c r="C55" i="45" s="1"/>
  <c r="D55" i="45" s="1"/>
  <c r="J54" i="45"/>
  <c r="B54" i="45"/>
  <c r="C54" i="45" s="1"/>
  <c r="D54" i="45" s="1"/>
  <c r="J53" i="45"/>
  <c r="B53" i="45"/>
  <c r="C53" i="45" s="1"/>
  <c r="D53" i="45" s="1"/>
  <c r="J52" i="45"/>
  <c r="B52" i="45"/>
  <c r="C52" i="45" s="1"/>
  <c r="D52" i="45" s="1"/>
  <c r="J51" i="45"/>
  <c r="B51" i="45"/>
  <c r="C51" i="45" s="1"/>
  <c r="D51" i="45" s="1"/>
  <c r="J50" i="45"/>
  <c r="B50" i="45"/>
  <c r="C50" i="45" s="1"/>
  <c r="D50" i="45" s="1"/>
  <c r="J49" i="45"/>
  <c r="B49" i="45"/>
  <c r="C49" i="45" s="1"/>
  <c r="D49" i="45" s="1"/>
  <c r="J48" i="45"/>
  <c r="B48" i="45"/>
  <c r="C48" i="45" s="1"/>
  <c r="D48" i="45" s="1"/>
  <c r="B47" i="45"/>
  <c r="C47" i="45" s="1"/>
  <c r="D47" i="45" s="1"/>
  <c r="C13" i="45"/>
  <c r="C12" i="45"/>
  <c r="C14" i="42"/>
  <c r="C15" i="42"/>
  <c r="C16" i="42"/>
  <c r="C25" i="42"/>
  <c r="C26" i="42"/>
  <c r="C27" i="42"/>
  <c r="C28" i="42"/>
  <c r="C29" i="42"/>
  <c r="C30" i="42"/>
  <c r="C31" i="42"/>
  <c r="C32" i="42"/>
  <c r="C33" i="42"/>
  <c r="G76" i="42"/>
  <c r="E76" i="42"/>
  <c r="J67" i="42"/>
  <c r="B67" i="42"/>
  <c r="C67" i="42" s="1"/>
  <c r="D67" i="42" s="1"/>
  <c r="J66" i="42"/>
  <c r="B66" i="42"/>
  <c r="C66" i="42" s="1"/>
  <c r="D66" i="42" s="1"/>
  <c r="J65" i="42"/>
  <c r="B65" i="42"/>
  <c r="C65" i="42" s="1"/>
  <c r="D65" i="42" s="1"/>
  <c r="J64" i="42"/>
  <c r="B64" i="42"/>
  <c r="C64" i="42" s="1"/>
  <c r="D64" i="42" s="1"/>
  <c r="J63" i="42"/>
  <c r="B63" i="42"/>
  <c r="C63" i="42" s="1"/>
  <c r="D63" i="42" s="1"/>
  <c r="J62" i="42"/>
  <c r="B62" i="42"/>
  <c r="C62" i="42" s="1"/>
  <c r="D62" i="42" s="1"/>
  <c r="J61" i="42"/>
  <c r="B61" i="42"/>
  <c r="C61" i="42" s="1"/>
  <c r="D61" i="42" s="1"/>
  <c r="J60" i="42"/>
  <c r="B60" i="42"/>
  <c r="C60" i="42" s="1"/>
  <c r="D60" i="42" s="1"/>
  <c r="J59" i="42"/>
  <c r="B59" i="42"/>
  <c r="C59" i="42" s="1"/>
  <c r="D59" i="42" s="1"/>
  <c r="J58" i="42"/>
  <c r="B58" i="42"/>
  <c r="C58" i="42" s="1"/>
  <c r="D58" i="42" s="1"/>
  <c r="J57" i="42"/>
  <c r="B57" i="42"/>
  <c r="C57" i="42" s="1"/>
  <c r="D57" i="42" s="1"/>
  <c r="J56" i="42"/>
  <c r="B56" i="42"/>
  <c r="C56" i="42" s="1"/>
  <c r="D56" i="42" s="1"/>
  <c r="B55" i="42"/>
  <c r="C55" i="42" s="1"/>
  <c r="D55" i="42" s="1"/>
  <c r="C12" i="42"/>
  <c r="C18" i="41"/>
  <c r="C13" i="41"/>
  <c r="C14" i="41"/>
  <c r="C15" i="41"/>
  <c r="C16" i="41"/>
  <c r="C17" i="41"/>
  <c r="C12" i="41"/>
  <c r="J75" i="41"/>
  <c r="B75" i="41"/>
  <c r="C75" i="41" s="1"/>
  <c r="D75" i="41" s="1"/>
  <c r="J74" i="41"/>
  <c r="B74" i="41"/>
  <c r="C74" i="41" s="1"/>
  <c r="D74" i="41" s="1"/>
  <c r="J73" i="41"/>
  <c r="B73" i="41"/>
  <c r="C73" i="41" s="1"/>
  <c r="D73" i="41" s="1"/>
  <c r="J72" i="41"/>
  <c r="B72" i="41"/>
  <c r="C72" i="41" s="1"/>
  <c r="D72" i="41" s="1"/>
  <c r="J71" i="41"/>
  <c r="B71" i="41"/>
  <c r="C71" i="41" s="1"/>
  <c r="D71" i="41" s="1"/>
  <c r="J70" i="41"/>
  <c r="B70" i="41"/>
  <c r="C70" i="41" s="1"/>
  <c r="D70" i="41" s="1"/>
  <c r="J69" i="41"/>
  <c r="B69" i="41"/>
  <c r="C69" i="41" s="1"/>
  <c r="D69" i="41" s="1"/>
  <c r="J68" i="41"/>
  <c r="B68" i="41"/>
  <c r="C68" i="41"/>
  <c r="D68" i="41" s="1"/>
  <c r="J67" i="41"/>
  <c r="B67" i="41"/>
  <c r="C67" i="41" s="1"/>
  <c r="D67" i="41" s="1"/>
  <c r="J66" i="41"/>
  <c r="B66" i="41"/>
  <c r="C66" i="41" s="1"/>
  <c r="D66" i="41" s="1"/>
  <c r="J65" i="41"/>
  <c r="B65" i="41"/>
  <c r="C65" i="41" s="1"/>
  <c r="D65" i="41" s="1"/>
  <c r="J64" i="41"/>
  <c r="B64" i="41"/>
  <c r="C64" i="41" s="1"/>
  <c r="D64" i="41" s="1"/>
  <c r="B63" i="41"/>
  <c r="C63" i="41" s="1"/>
  <c r="D63" i="41" s="1"/>
  <c r="C29" i="41"/>
  <c r="C28" i="41"/>
  <c r="C27" i="41"/>
  <c r="C26" i="41"/>
  <c r="C25" i="41"/>
  <c r="C24" i="41"/>
  <c r="C23" i="41"/>
  <c r="C22" i="41"/>
  <c r="C21" i="41"/>
  <c r="C20" i="41"/>
  <c r="C19" i="41"/>
  <c r="B39" i="37"/>
  <c r="C39" i="37" s="1"/>
  <c r="B40" i="37"/>
  <c r="C40" i="37" s="1"/>
  <c r="B41" i="37"/>
  <c r="B42" i="37"/>
  <c r="C42" i="37" s="1"/>
  <c r="B43" i="37"/>
  <c r="C43" i="37" s="1"/>
  <c r="B44" i="37"/>
  <c r="C44" i="37" s="1"/>
  <c r="B45" i="37"/>
  <c r="C45" i="37" s="1"/>
  <c r="B46" i="37"/>
  <c r="C46" i="37" s="1"/>
  <c r="B47" i="37"/>
  <c r="C47" i="37" s="1"/>
  <c r="B38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41" i="37"/>
  <c r="C13" i="37"/>
  <c r="C12" i="37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G92" i="37"/>
  <c r="E92" i="37"/>
  <c r="J83" i="37"/>
  <c r="B83" i="37"/>
  <c r="C83" i="37" s="1"/>
  <c r="D83" i="37" s="1"/>
  <c r="J82" i="37"/>
  <c r="B82" i="37"/>
  <c r="C82" i="37" s="1"/>
  <c r="D82" i="37" s="1"/>
  <c r="J81" i="37"/>
  <c r="B81" i="37"/>
  <c r="C81" i="37"/>
  <c r="D81" i="37" s="1"/>
  <c r="J80" i="37"/>
  <c r="B80" i="37"/>
  <c r="C80" i="37" s="1"/>
  <c r="D80" i="37" s="1"/>
  <c r="J79" i="37"/>
  <c r="B79" i="37"/>
  <c r="C79" i="37" s="1"/>
  <c r="D79" i="37" s="1"/>
  <c r="J78" i="37"/>
  <c r="B78" i="37"/>
  <c r="C78" i="37" s="1"/>
  <c r="D78" i="37" s="1"/>
  <c r="J77" i="37"/>
  <c r="B77" i="37"/>
  <c r="C77" i="37" s="1"/>
  <c r="D77" i="37" s="1"/>
  <c r="J76" i="37"/>
  <c r="B76" i="37"/>
  <c r="C76" i="37" s="1"/>
  <c r="D76" i="37" s="1"/>
  <c r="J75" i="37"/>
  <c r="B75" i="37"/>
  <c r="C75" i="37"/>
  <c r="D75" i="37" s="1"/>
  <c r="J74" i="37"/>
  <c r="B74" i="37"/>
  <c r="C74" i="37" s="1"/>
  <c r="D74" i="37" s="1"/>
  <c r="J73" i="37"/>
  <c r="B73" i="37"/>
  <c r="C73" i="37"/>
  <c r="D73" i="37" s="1"/>
  <c r="J72" i="37"/>
  <c r="B72" i="37"/>
  <c r="C72" i="37" s="1"/>
  <c r="D72" i="37" s="1"/>
  <c r="B71" i="37"/>
  <c r="C71" i="37" s="1"/>
  <c r="D71" i="37" s="1"/>
  <c r="A29" i="34"/>
  <c r="B5" i="34"/>
  <c r="B64" i="4"/>
  <c r="C64" i="4" s="1"/>
  <c r="D64" i="4" s="1"/>
  <c r="J66" i="4"/>
  <c r="B66" i="4"/>
  <c r="C66" i="4" s="1"/>
  <c r="D66" i="4" s="1"/>
  <c r="E110" i="4"/>
  <c r="G110" i="4"/>
  <c r="J76" i="4"/>
  <c r="B76" i="4"/>
  <c r="C76" i="4" s="1"/>
  <c r="D76" i="4" s="1"/>
  <c r="J75" i="4"/>
  <c r="B75" i="4"/>
  <c r="C75" i="4" s="1"/>
  <c r="D75" i="4" s="1"/>
  <c r="J74" i="4"/>
  <c r="B74" i="4"/>
  <c r="C74" i="4" s="1"/>
  <c r="D74" i="4" s="1"/>
  <c r="J73" i="4"/>
  <c r="B73" i="4"/>
  <c r="C73" i="4" s="1"/>
  <c r="D73" i="4" s="1"/>
  <c r="J72" i="4"/>
  <c r="B72" i="4"/>
  <c r="C72" i="4" s="1"/>
  <c r="D72" i="4" s="1"/>
  <c r="J71" i="4"/>
  <c r="B71" i="4"/>
  <c r="C71" i="4" s="1"/>
  <c r="D71" i="4" s="1"/>
  <c r="J70" i="4"/>
  <c r="B70" i="4"/>
  <c r="C70" i="4" s="1"/>
  <c r="D70" i="4" s="1"/>
  <c r="J69" i="4"/>
  <c r="B69" i="4"/>
  <c r="C69" i="4" s="1"/>
  <c r="D69" i="4" s="1"/>
  <c r="J68" i="4"/>
  <c r="B68" i="4"/>
  <c r="C68" i="4" s="1"/>
  <c r="D68" i="4" s="1"/>
  <c r="J67" i="4"/>
  <c r="B67" i="4"/>
  <c r="C67" i="4" s="1"/>
  <c r="D67" i="4" s="1"/>
  <c r="J65" i="4"/>
  <c r="B65" i="4"/>
  <c r="C65" i="4" s="1"/>
  <c r="D65" i="4" s="1"/>
  <c r="G12" i="34"/>
  <c r="F12" i="34"/>
  <c r="E12" i="34"/>
  <c r="I12" i="34"/>
  <c r="H12" i="34"/>
  <c r="D12" i="34"/>
  <c r="C13" i="34"/>
  <c r="C12" i="34"/>
  <c r="K12" i="34"/>
  <c r="J12" i="34"/>
  <c r="D13" i="34"/>
  <c r="E13" i="34"/>
  <c r="F13" i="34"/>
  <c r="B20" i="34"/>
  <c r="I25" i="34" s="1"/>
  <c r="C38" i="37"/>
  <c r="B19" i="34"/>
  <c r="B29" i="34" s="1"/>
  <c r="H24" i="34"/>
  <c r="F25" i="34"/>
  <c r="E24" i="34"/>
  <c r="I24" i="34"/>
  <c r="J25" i="34"/>
  <c r="C57" i="41" l="1"/>
  <c r="C56" i="41"/>
  <c r="C55" i="41"/>
  <c r="J36" i="34"/>
  <c r="G34" i="34"/>
  <c r="H36" i="34"/>
  <c r="D35" i="34"/>
  <c r="H35" i="34"/>
  <c r="D34" i="34"/>
  <c r="I36" i="34"/>
  <c r="F36" i="34"/>
  <c r="E34" i="34"/>
  <c r="G36" i="34"/>
  <c r="F34" i="34"/>
  <c r="E35" i="34"/>
  <c r="C34" i="34"/>
  <c r="I34" i="34"/>
  <c r="F24" i="34"/>
  <c r="K24" i="34"/>
  <c r="K25" i="34"/>
  <c r="I23" i="34"/>
  <c r="D25" i="34"/>
  <c r="J24" i="34"/>
  <c r="D24" i="34"/>
  <c r="C24" i="34"/>
  <c r="E23" i="34"/>
  <c r="H25" i="34"/>
  <c r="E25" i="34"/>
  <c r="C23" i="34"/>
  <c r="G23" i="34"/>
  <c r="G25" i="34"/>
  <c r="D20" i="34"/>
  <c r="J23" i="34"/>
  <c r="D23" i="34"/>
  <c r="G24" i="34"/>
  <c r="C25" i="34"/>
  <c r="F23" i="34"/>
  <c r="F35" i="34"/>
  <c r="K23" i="34"/>
  <c r="H23" i="34"/>
  <c r="E77" i="42"/>
  <c r="E78" i="42" s="1"/>
  <c r="E79" i="42" s="1"/>
  <c r="E80" i="42" s="1"/>
  <c r="E111" i="4"/>
  <c r="E112" i="4" s="1"/>
  <c r="E113" i="4" s="1"/>
  <c r="E114" i="4" s="1"/>
  <c r="E69" i="45"/>
  <c r="E70" i="45" s="1"/>
  <c r="E71" i="45" s="1"/>
  <c r="E72" i="45" s="1"/>
  <c r="E93" i="37"/>
  <c r="E94" i="37" s="1"/>
  <c r="E95" i="37" s="1"/>
  <c r="E96" i="37" s="1"/>
  <c r="D36" i="34"/>
  <c r="C36" i="34"/>
  <c r="H34" i="34"/>
  <c r="K36" i="34"/>
  <c r="K35" i="34"/>
  <c r="C35" i="34"/>
  <c r="I35" i="34"/>
  <c r="J35" i="34"/>
  <c r="K34" i="34"/>
  <c r="J34" i="34"/>
  <c r="G35" i="34"/>
  <c r="E36" i="34"/>
  <c r="B63" i="37"/>
  <c r="C15" i="45"/>
  <c r="C40" i="45" s="1"/>
  <c r="B64" i="37"/>
  <c r="C13" i="42"/>
  <c r="C49" i="42" s="1"/>
  <c r="C12" i="4"/>
  <c r="C64" i="37"/>
  <c r="C65" i="37"/>
  <c r="B65" i="37"/>
  <c r="C63" i="37"/>
  <c r="C41" i="45" l="1"/>
  <c r="C39" i="45"/>
  <c r="C47" i="42"/>
  <c r="C48" i="42"/>
  <c r="C58" i="4"/>
  <c r="C57" i="4"/>
  <c r="C56" i="4"/>
  <c r="K66" i="42"/>
  <c r="K62" i="42"/>
  <c r="I109" i="51" s="1"/>
  <c r="K58" i="42"/>
  <c r="E109" i="51" s="1"/>
  <c r="K52" i="45"/>
  <c r="G132" i="51" s="1"/>
  <c r="K48" i="45"/>
  <c r="C132" i="51" s="1"/>
  <c r="K68" i="4"/>
  <c r="F61" i="51" s="1"/>
  <c r="K70" i="4"/>
  <c r="H61" i="51" s="1"/>
  <c r="K73" i="4"/>
  <c r="K61" i="51" s="1"/>
  <c r="K71" i="4"/>
  <c r="I61" i="51" s="1"/>
  <c r="K72" i="4"/>
  <c r="J61" i="51" s="1"/>
  <c r="K65" i="4"/>
  <c r="C61" i="51" s="1"/>
  <c r="K74" i="4"/>
  <c r="L61" i="51" s="1"/>
  <c r="K76" i="4"/>
  <c r="K66" i="4"/>
  <c r="D61" i="51" s="1"/>
  <c r="K67" i="4"/>
  <c r="E61" i="51" s="1"/>
  <c r="K75" i="4"/>
  <c r="L177" i="51"/>
  <c r="J177" i="51"/>
  <c r="H177" i="51"/>
  <c r="F177" i="51"/>
  <c r="D177" i="51"/>
  <c r="I177" i="51"/>
  <c r="E177" i="51"/>
  <c r="K177" i="51"/>
  <c r="G177" i="51"/>
  <c r="C177" i="51"/>
  <c r="G64" i="41"/>
  <c r="H64" i="41" s="1"/>
  <c r="I64" i="41" s="1"/>
  <c r="C85" i="51" s="1"/>
  <c r="G69" i="41"/>
  <c r="H69" i="41" s="1"/>
  <c r="I69" i="41" s="1"/>
  <c r="H85" i="51" s="1"/>
  <c r="G74" i="41"/>
  <c r="H74" i="41" s="1"/>
  <c r="I74" i="41" s="1"/>
  <c r="G63" i="41"/>
  <c r="H63" i="41" s="1"/>
  <c r="I63" i="41" s="1"/>
  <c r="B85" i="51" s="1"/>
  <c r="G71" i="41"/>
  <c r="H71" i="41" s="1"/>
  <c r="I71" i="41" s="1"/>
  <c r="J85" i="51" s="1"/>
  <c r="G66" i="41"/>
  <c r="H66" i="41" s="1"/>
  <c r="I66" i="41" s="1"/>
  <c r="E85" i="51" s="1"/>
  <c r="G73" i="41"/>
  <c r="H73" i="41" s="1"/>
  <c r="I73" i="41" s="1"/>
  <c r="L85" i="51" s="1"/>
  <c r="G70" i="41"/>
  <c r="H70" i="41" s="1"/>
  <c r="I70" i="41" s="1"/>
  <c r="I85" i="51" s="1"/>
  <c r="G75" i="41"/>
  <c r="H75" i="41" s="1"/>
  <c r="I75" i="41" s="1"/>
  <c r="G68" i="41"/>
  <c r="H68" i="41" s="1"/>
  <c r="I68" i="41" s="1"/>
  <c r="G85" i="51" s="1"/>
  <c r="G65" i="41"/>
  <c r="H65" i="41" s="1"/>
  <c r="I65" i="41" s="1"/>
  <c r="D85" i="51" s="1"/>
  <c r="G72" i="41"/>
  <c r="H72" i="41" s="1"/>
  <c r="I72" i="41" s="1"/>
  <c r="K85" i="51" s="1"/>
  <c r="G67" i="41"/>
  <c r="H67" i="41" s="1"/>
  <c r="I67" i="41" s="1"/>
  <c r="F85" i="51" s="1"/>
  <c r="K50" i="45"/>
  <c r="E132" i="51" s="1"/>
  <c r="K51" i="45"/>
  <c r="F132" i="51" s="1"/>
  <c r="K58" i="45"/>
  <c r="K55" i="45"/>
  <c r="J132" i="51" s="1"/>
  <c r="K59" i="45"/>
  <c r="K69" i="4"/>
  <c r="G61" i="51" s="1"/>
  <c r="K67" i="42"/>
  <c r="K63" i="42"/>
  <c r="J109" i="51" s="1"/>
  <c r="K59" i="42"/>
  <c r="F109" i="51" s="1"/>
  <c r="K65" i="42"/>
  <c r="L109" i="51" s="1"/>
  <c r="K61" i="42"/>
  <c r="H109" i="51" s="1"/>
  <c r="K57" i="42"/>
  <c r="D109" i="51" s="1"/>
  <c r="K74" i="41"/>
  <c r="K72" i="41"/>
  <c r="K86" i="51" s="1"/>
  <c r="K70" i="41"/>
  <c r="I86" i="51" s="1"/>
  <c r="K68" i="41"/>
  <c r="G86" i="51" s="1"/>
  <c r="K66" i="41"/>
  <c r="E86" i="51" s="1"/>
  <c r="K64" i="41"/>
  <c r="C86" i="51" s="1"/>
  <c r="K75" i="41"/>
  <c r="K71" i="41"/>
  <c r="J86" i="51" s="1"/>
  <c r="K67" i="41"/>
  <c r="F86" i="51" s="1"/>
  <c r="K73" i="41"/>
  <c r="L86" i="51" s="1"/>
  <c r="K69" i="41"/>
  <c r="H86" i="51" s="1"/>
  <c r="K65" i="41"/>
  <c r="D86" i="51" s="1"/>
  <c r="E74" i="41"/>
  <c r="F74" i="41" s="1"/>
  <c r="E72" i="41"/>
  <c r="F72" i="41" s="1"/>
  <c r="K84" i="51" s="1"/>
  <c r="E70" i="41"/>
  <c r="F70" i="41" s="1"/>
  <c r="I84" i="51" s="1"/>
  <c r="E68" i="41"/>
  <c r="F68" i="41" s="1"/>
  <c r="G84" i="51" s="1"/>
  <c r="E66" i="41"/>
  <c r="F66" i="41" s="1"/>
  <c r="E84" i="51" s="1"/>
  <c r="E64" i="41"/>
  <c r="F64" i="41" s="1"/>
  <c r="C84" i="51" s="1"/>
  <c r="E73" i="41"/>
  <c r="F73" i="41" s="1"/>
  <c r="L84" i="51" s="1"/>
  <c r="E69" i="41"/>
  <c r="F69" i="41" s="1"/>
  <c r="H84" i="51" s="1"/>
  <c r="E65" i="41"/>
  <c r="F65" i="41" s="1"/>
  <c r="D84" i="51" s="1"/>
  <c r="E75" i="41"/>
  <c r="F75" i="41" s="1"/>
  <c r="E71" i="41"/>
  <c r="F71" i="41" s="1"/>
  <c r="J84" i="51" s="1"/>
  <c r="E67" i="41"/>
  <c r="F67" i="41" s="1"/>
  <c r="F84" i="51" s="1"/>
  <c r="E63" i="41"/>
  <c r="F63" i="41" s="1"/>
  <c r="B84" i="51" s="1"/>
  <c r="K56" i="42"/>
  <c r="C109" i="51" s="1"/>
  <c r="K60" i="42"/>
  <c r="G109" i="51" s="1"/>
  <c r="K64" i="42"/>
  <c r="K109" i="51" s="1"/>
  <c r="K56" i="45"/>
  <c r="K132" i="51" s="1"/>
  <c r="K49" i="45"/>
  <c r="D132" i="51" s="1"/>
  <c r="K54" i="45"/>
  <c r="I132" i="51" s="1"/>
  <c r="K53" i="45"/>
  <c r="H132" i="51" s="1"/>
  <c r="K57" i="45"/>
  <c r="L132" i="51" s="1"/>
  <c r="G57" i="45"/>
  <c r="G54" i="45"/>
  <c r="G50" i="45"/>
  <c r="G58" i="45"/>
  <c r="G53" i="45"/>
  <c r="G49" i="45"/>
  <c r="G48" i="45"/>
  <c r="G59" i="45"/>
  <c r="G55" i="45"/>
  <c r="G52" i="45"/>
  <c r="G47" i="45"/>
  <c r="G56" i="45"/>
  <c r="G51" i="45"/>
  <c r="G73" i="37"/>
  <c r="H73" i="37" s="1"/>
  <c r="I73" i="37" s="1"/>
  <c r="D14" i="51" s="1"/>
  <c r="G77" i="37"/>
  <c r="H77" i="37" s="1"/>
  <c r="I77" i="37" s="1"/>
  <c r="H14" i="51" s="1"/>
  <c r="G76" i="37"/>
  <c r="H76" i="37" s="1"/>
  <c r="I76" i="37" s="1"/>
  <c r="G14" i="51" s="1"/>
  <c r="G75" i="37"/>
  <c r="H75" i="37" s="1"/>
  <c r="I75" i="37" s="1"/>
  <c r="F14" i="51" s="1"/>
  <c r="G83" i="37"/>
  <c r="H83" i="37" s="1"/>
  <c r="I83" i="37" s="1"/>
  <c r="G79" i="37"/>
  <c r="H79" i="37" s="1"/>
  <c r="I79" i="37" s="1"/>
  <c r="J14" i="51" s="1"/>
  <c r="G72" i="37"/>
  <c r="H72" i="37" s="1"/>
  <c r="I72" i="37" s="1"/>
  <c r="C14" i="51" s="1"/>
  <c r="G71" i="37"/>
  <c r="H71" i="37" s="1"/>
  <c r="I71" i="37" s="1"/>
  <c r="B14" i="51" s="1"/>
  <c r="G82" i="37"/>
  <c r="H82" i="37" s="1"/>
  <c r="I82" i="37" s="1"/>
  <c r="G81" i="37"/>
  <c r="H81" i="37" s="1"/>
  <c r="I81" i="37" s="1"/>
  <c r="L14" i="51" s="1"/>
  <c r="G74" i="37"/>
  <c r="H74" i="37" s="1"/>
  <c r="I74" i="37" s="1"/>
  <c r="E14" i="51" s="1"/>
  <c r="G80" i="37"/>
  <c r="H80" i="37" s="1"/>
  <c r="I80" i="37" s="1"/>
  <c r="K14" i="51" s="1"/>
  <c r="G78" i="37"/>
  <c r="E77" i="37"/>
  <c r="F77" i="37" s="1"/>
  <c r="H13" i="51" s="1"/>
  <c r="E75" i="37"/>
  <c r="F75" i="37" s="1"/>
  <c r="F13" i="51" s="1"/>
  <c r="E76" i="37"/>
  <c r="F76" i="37" s="1"/>
  <c r="G13" i="51" s="1"/>
  <c r="E74" i="37"/>
  <c r="F74" i="37" s="1"/>
  <c r="E13" i="51" s="1"/>
  <c r="E81" i="37"/>
  <c r="F81" i="37" s="1"/>
  <c r="L13" i="51" s="1"/>
  <c r="E78" i="37"/>
  <c r="F78" i="37" s="1"/>
  <c r="I13" i="51" s="1"/>
  <c r="E73" i="37"/>
  <c r="F73" i="37" s="1"/>
  <c r="D13" i="51" s="1"/>
  <c r="E80" i="37"/>
  <c r="F80" i="37" s="1"/>
  <c r="K13" i="51" s="1"/>
  <c r="E72" i="37"/>
  <c r="F72" i="37" s="1"/>
  <c r="C13" i="51" s="1"/>
  <c r="E79" i="37"/>
  <c r="F79" i="37" s="1"/>
  <c r="J13" i="51" s="1"/>
  <c r="E82" i="37"/>
  <c r="F82" i="37" s="1"/>
  <c r="E83" i="37"/>
  <c r="F83" i="37" s="1"/>
  <c r="E71" i="37"/>
  <c r="F71" i="37" s="1"/>
  <c r="B13" i="51" s="1"/>
  <c r="K83" i="37"/>
  <c r="K80" i="37"/>
  <c r="K15" i="51" s="1"/>
  <c r="K76" i="37"/>
  <c r="G15" i="51" s="1"/>
  <c r="K82" i="37"/>
  <c r="K81" i="37"/>
  <c r="L15" i="51" s="1"/>
  <c r="K78" i="37"/>
  <c r="I15" i="51" s="1"/>
  <c r="K77" i="37"/>
  <c r="H15" i="51" s="1"/>
  <c r="K72" i="37"/>
  <c r="C15" i="51" s="1"/>
  <c r="K75" i="37"/>
  <c r="F15" i="51" s="1"/>
  <c r="K73" i="37"/>
  <c r="D15" i="51" s="1"/>
  <c r="K79" i="37"/>
  <c r="J15" i="51" s="1"/>
  <c r="K74" i="37"/>
  <c r="E15" i="51" s="1"/>
  <c r="G93" i="37" l="1"/>
  <c r="G94" i="37" s="1"/>
  <c r="N61" i="51"/>
  <c r="N57" i="38"/>
  <c r="N14" i="54" s="1"/>
  <c r="N81" i="38"/>
  <c r="N37" i="54" s="1"/>
  <c r="N85" i="51"/>
  <c r="M57" i="38"/>
  <c r="M14" i="54" s="1"/>
  <c r="M61" i="51"/>
  <c r="M84" i="51"/>
  <c r="M80" i="38"/>
  <c r="M36" i="54" s="1"/>
  <c r="M175" i="51"/>
  <c r="H78" i="37"/>
  <c r="I78" i="37" s="1"/>
  <c r="I14" i="51" s="1"/>
  <c r="N86" i="51"/>
  <c r="N82" i="38"/>
  <c r="N109" i="51"/>
  <c r="N105" i="38"/>
  <c r="N62" i="54" s="1"/>
  <c r="M128" i="38"/>
  <c r="M132" i="51"/>
  <c r="M177" i="51"/>
  <c r="M86" i="51"/>
  <c r="M82" i="38"/>
  <c r="N128" i="38"/>
  <c r="N132" i="51"/>
  <c r="N177" i="51"/>
  <c r="N84" i="51"/>
  <c r="N80" i="38"/>
  <c r="N36" i="54" s="1"/>
  <c r="M81" i="38"/>
  <c r="M37" i="54" s="1"/>
  <c r="M85" i="51"/>
  <c r="M105" i="38"/>
  <c r="M62" i="54" s="1"/>
  <c r="M109" i="51"/>
  <c r="E55" i="45"/>
  <c r="F55" i="45" s="1"/>
  <c r="E30" i="38"/>
  <c r="D30" i="38"/>
  <c r="C30" i="38"/>
  <c r="I30" i="38"/>
  <c r="K30" i="38"/>
  <c r="G29" i="38"/>
  <c r="E29" i="38"/>
  <c r="J28" i="38"/>
  <c r="K28" i="38"/>
  <c r="I28" i="38"/>
  <c r="E28" i="38"/>
  <c r="D29" i="38"/>
  <c r="H28" i="38"/>
  <c r="C29" i="38"/>
  <c r="L128" i="38"/>
  <c r="I128" i="38"/>
  <c r="K128" i="38"/>
  <c r="G105" i="38"/>
  <c r="G62" i="54" s="1"/>
  <c r="B80" i="38"/>
  <c r="B36" i="54" s="1"/>
  <c r="J80" i="38"/>
  <c r="J36" i="54" s="1"/>
  <c r="D80" i="38"/>
  <c r="D36" i="54" s="1"/>
  <c r="L80" i="38"/>
  <c r="L36" i="54" s="1"/>
  <c r="E80" i="38"/>
  <c r="E36" i="54" s="1"/>
  <c r="I80" i="38"/>
  <c r="I36" i="54" s="1"/>
  <c r="H82" i="38"/>
  <c r="F82" i="38"/>
  <c r="E82" i="38"/>
  <c r="I82" i="38"/>
  <c r="H105" i="38"/>
  <c r="H62" i="54" s="1"/>
  <c r="F105" i="38"/>
  <c r="F62" i="54" s="1"/>
  <c r="E128" i="38"/>
  <c r="K81" i="38"/>
  <c r="K37" i="54" s="1"/>
  <c r="G81" i="38"/>
  <c r="G37" i="54" s="1"/>
  <c r="I81" i="38"/>
  <c r="I37" i="54" s="1"/>
  <c r="E81" i="38"/>
  <c r="E37" i="54" s="1"/>
  <c r="B81" i="38"/>
  <c r="B37" i="54" s="1"/>
  <c r="H81" i="38"/>
  <c r="H37" i="54" s="1"/>
  <c r="D57" i="38"/>
  <c r="D14" i="54" s="1"/>
  <c r="L57" i="38"/>
  <c r="L14" i="54" s="1"/>
  <c r="J57" i="38"/>
  <c r="J14" i="54" s="1"/>
  <c r="K57" i="38"/>
  <c r="K14" i="54" s="1"/>
  <c r="F57" i="38"/>
  <c r="F14" i="54" s="1"/>
  <c r="G128" i="38"/>
  <c r="I105" i="38"/>
  <c r="I62" i="54" s="1"/>
  <c r="J30" i="38"/>
  <c r="F30" i="38"/>
  <c r="H30" i="38"/>
  <c r="L30" i="38"/>
  <c r="G30" i="38"/>
  <c r="K29" i="38"/>
  <c r="H29" i="38"/>
  <c r="B28" i="38"/>
  <c r="C28" i="38"/>
  <c r="D28" i="38"/>
  <c r="L28" i="38"/>
  <c r="G28" i="38"/>
  <c r="L29" i="38"/>
  <c r="F28" i="38"/>
  <c r="F29" i="38"/>
  <c r="B29" i="38"/>
  <c r="J29" i="38"/>
  <c r="H128" i="38"/>
  <c r="D128" i="38"/>
  <c r="K105" i="38"/>
  <c r="K62" i="54" s="1"/>
  <c r="C105" i="38"/>
  <c r="C62" i="54" s="1"/>
  <c r="F80" i="38"/>
  <c r="F36" i="54" s="1"/>
  <c r="H80" i="38"/>
  <c r="H36" i="54" s="1"/>
  <c r="C80" i="38"/>
  <c r="C36" i="54" s="1"/>
  <c r="G80" i="38"/>
  <c r="G36" i="54" s="1"/>
  <c r="K80" i="38"/>
  <c r="K36" i="54" s="1"/>
  <c r="D82" i="38"/>
  <c r="L82" i="38"/>
  <c r="J82" i="38"/>
  <c r="C82" i="38"/>
  <c r="G82" i="38"/>
  <c r="K82" i="38"/>
  <c r="D105" i="38"/>
  <c r="D62" i="54" s="1"/>
  <c r="L105" i="38"/>
  <c r="L62" i="54" s="1"/>
  <c r="J105" i="38"/>
  <c r="J62" i="54" s="1"/>
  <c r="G57" i="38"/>
  <c r="G14" i="54" s="1"/>
  <c r="J128" i="38"/>
  <c r="F128" i="38"/>
  <c r="F81" i="38"/>
  <c r="F37" i="54" s="1"/>
  <c r="D81" i="38"/>
  <c r="D37" i="54" s="1"/>
  <c r="L81" i="38"/>
  <c r="L37" i="54" s="1"/>
  <c r="J81" i="38"/>
  <c r="J37" i="54" s="1"/>
  <c r="C81" i="38"/>
  <c r="C37" i="54" s="1"/>
  <c r="E57" i="38"/>
  <c r="E14" i="54" s="1"/>
  <c r="C57" i="38"/>
  <c r="C14" i="54" s="1"/>
  <c r="I57" i="38"/>
  <c r="I14" i="54" s="1"/>
  <c r="H57" i="38"/>
  <c r="H14" i="54" s="1"/>
  <c r="C128" i="38"/>
  <c r="E105" i="38"/>
  <c r="E62" i="54" s="1"/>
  <c r="E47" i="45"/>
  <c r="F47" i="45" s="1"/>
  <c r="H56" i="45"/>
  <c r="I56" i="45" s="1"/>
  <c r="K131" i="51" s="1"/>
  <c r="H52" i="45"/>
  <c r="I52" i="45" s="1"/>
  <c r="G131" i="51" s="1"/>
  <c r="H49" i="45"/>
  <c r="I49" i="45" s="1"/>
  <c r="D131" i="51" s="1"/>
  <c r="H58" i="45"/>
  <c r="I58" i="45" s="1"/>
  <c r="H54" i="45"/>
  <c r="I54" i="45" s="1"/>
  <c r="I131" i="51" s="1"/>
  <c r="H59" i="45"/>
  <c r="I59" i="45" s="1"/>
  <c r="E51" i="45"/>
  <c r="F51" i="45" s="1"/>
  <c r="F130" i="51" s="1"/>
  <c r="E59" i="45"/>
  <c r="F59" i="45" s="1"/>
  <c r="F175" i="51"/>
  <c r="E49" i="45"/>
  <c r="F49" i="45" s="1"/>
  <c r="D130" i="51" s="1"/>
  <c r="E53" i="45"/>
  <c r="F53" i="45" s="1"/>
  <c r="H130" i="51" s="1"/>
  <c r="E57" i="45"/>
  <c r="F57" i="45" s="1"/>
  <c r="L130" i="51" s="1"/>
  <c r="C176" i="51"/>
  <c r="F176" i="51"/>
  <c r="K176" i="51"/>
  <c r="H176" i="51"/>
  <c r="B175" i="51"/>
  <c r="J175" i="51"/>
  <c r="E58" i="45"/>
  <c r="F58" i="45" s="1"/>
  <c r="D175" i="51"/>
  <c r="H175" i="51"/>
  <c r="L175" i="51"/>
  <c r="E48" i="45"/>
  <c r="F48" i="45" s="1"/>
  <c r="C130" i="51" s="1"/>
  <c r="E50" i="45"/>
  <c r="F50" i="45" s="1"/>
  <c r="E130" i="51" s="1"/>
  <c r="E52" i="45"/>
  <c r="F52" i="45" s="1"/>
  <c r="G130" i="51" s="1"/>
  <c r="E54" i="45"/>
  <c r="F54" i="45" s="1"/>
  <c r="I130" i="51" s="1"/>
  <c r="E56" i="45"/>
  <c r="F56" i="45" s="1"/>
  <c r="K130" i="51" s="1"/>
  <c r="H51" i="45"/>
  <c r="I51" i="45" s="1"/>
  <c r="F131" i="51" s="1"/>
  <c r="H47" i="45"/>
  <c r="I47" i="45" s="1"/>
  <c r="B131" i="51" s="1"/>
  <c r="H55" i="45"/>
  <c r="I55" i="45" s="1"/>
  <c r="J131" i="51" s="1"/>
  <c r="H48" i="45"/>
  <c r="I48" i="45" s="1"/>
  <c r="C131" i="51" s="1"/>
  <c r="H53" i="45"/>
  <c r="I53" i="45" s="1"/>
  <c r="H131" i="51" s="1"/>
  <c r="H50" i="45"/>
  <c r="I50" i="45" s="1"/>
  <c r="E131" i="51" s="1"/>
  <c r="H57" i="45"/>
  <c r="I57" i="45" s="1"/>
  <c r="L131" i="51" s="1"/>
  <c r="G176" i="51"/>
  <c r="J176" i="51"/>
  <c r="E176" i="51"/>
  <c r="D176" i="51"/>
  <c r="L176" i="51"/>
  <c r="B176" i="51"/>
  <c r="C175" i="51"/>
  <c r="E175" i="51"/>
  <c r="G175" i="51"/>
  <c r="I175" i="51"/>
  <c r="K175" i="51"/>
  <c r="G56" i="42"/>
  <c r="G57" i="42"/>
  <c r="H57" i="42" s="1"/>
  <c r="I57" i="42" s="1"/>
  <c r="D108" i="51" s="1"/>
  <c r="G62" i="42"/>
  <c r="H62" i="42" s="1"/>
  <c r="I62" i="42" s="1"/>
  <c r="I108" i="51" s="1"/>
  <c r="G64" i="42"/>
  <c r="H64" i="42" s="1"/>
  <c r="I64" i="42" s="1"/>
  <c r="K108" i="51" s="1"/>
  <c r="G63" i="42"/>
  <c r="H63" i="42" s="1"/>
  <c r="I63" i="42" s="1"/>
  <c r="J108" i="51" s="1"/>
  <c r="G59" i="42"/>
  <c r="H59" i="42" s="1"/>
  <c r="I59" i="42" s="1"/>
  <c r="F108" i="51" s="1"/>
  <c r="G60" i="42"/>
  <c r="H60" i="42" s="1"/>
  <c r="I60" i="42" s="1"/>
  <c r="G108" i="51" s="1"/>
  <c r="G65" i="42"/>
  <c r="H65" i="42" s="1"/>
  <c r="I65" i="42" s="1"/>
  <c r="L108" i="51" s="1"/>
  <c r="G66" i="42"/>
  <c r="H66" i="42" s="1"/>
  <c r="I66" i="42" s="1"/>
  <c r="G67" i="42"/>
  <c r="H67" i="42" s="1"/>
  <c r="I67" i="42" s="1"/>
  <c r="G58" i="42"/>
  <c r="H58" i="42" s="1"/>
  <c r="I58" i="42" s="1"/>
  <c r="E108" i="51" s="1"/>
  <c r="G61" i="42"/>
  <c r="H61" i="42" s="1"/>
  <c r="I61" i="42" s="1"/>
  <c r="H108" i="51" s="1"/>
  <c r="G55" i="42"/>
  <c r="H55" i="42" s="1"/>
  <c r="I55" i="42" s="1"/>
  <c r="B108" i="51" s="1"/>
  <c r="E67" i="42"/>
  <c r="F67" i="42" s="1"/>
  <c r="E65" i="42"/>
  <c r="F65" i="42" s="1"/>
  <c r="L107" i="51" s="1"/>
  <c r="E66" i="42"/>
  <c r="F66" i="42" s="1"/>
  <c r="E63" i="42"/>
  <c r="F63" i="42" s="1"/>
  <c r="J107" i="51" s="1"/>
  <c r="E61" i="42"/>
  <c r="F61" i="42" s="1"/>
  <c r="H107" i="51" s="1"/>
  <c r="E59" i="42"/>
  <c r="F59" i="42" s="1"/>
  <c r="F107" i="51" s="1"/>
  <c r="E57" i="42"/>
  <c r="F57" i="42" s="1"/>
  <c r="D107" i="51" s="1"/>
  <c r="E55" i="42"/>
  <c r="F55" i="42" s="1"/>
  <c r="B107" i="51" s="1"/>
  <c r="E64" i="42"/>
  <c r="F64" i="42" s="1"/>
  <c r="K107" i="51" s="1"/>
  <c r="E62" i="42"/>
  <c r="F62" i="42" s="1"/>
  <c r="I107" i="51" s="1"/>
  <c r="E60" i="42"/>
  <c r="F60" i="42" s="1"/>
  <c r="G107" i="51" s="1"/>
  <c r="E58" i="42"/>
  <c r="F58" i="42" s="1"/>
  <c r="E107" i="51" s="1"/>
  <c r="E56" i="42"/>
  <c r="F56" i="42" s="1"/>
  <c r="C107" i="51" s="1"/>
  <c r="H56" i="42"/>
  <c r="I56" i="42" s="1"/>
  <c r="C108" i="51" s="1"/>
  <c r="G74" i="4"/>
  <c r="H74" i="4" s="1"/>
  <c r="I74" i="4" s="1"/>
  <c r="L60" i="51" s="1"/>
  <c r="G65" i="4"/>
  <c r="H65" i="4" s="1"/>
  <c r="I65" i="4" s="1"/>
  <c r="C60" i="51" s="1"/>
  <c r="G66" i="4"/>
  <c r="H66" i="4" s="1"/>
  <c r="I66" i="4" s="1"/>
  <c r="D60" i="51" s="1"/>
  <c r="G64" i="4"/>
  <c r="H64" i="4" s="1"/>
  <c r="I64" i="4" s="1"/>
  <c r="B60" i="51" s="1"/>
  <c r="G71" i="4"/>
  <c r="G75" i="4"/>
  <c r="H75" i="4" s="1"/>
  <c r="I75" i="4" s="1"/>
  <c r="G67" i="4"/>
  <c r="H67" i="4" s="1"/>
  <c r="I67" i="4" s="1"/>
  <c r="E60" i="51" s="1"/>
  <c r="G69" i="4"/>
  <c r="H69" i="4" s="1"/>
  <c r="I69" i="4" s="1"/>
  <c r="G60" i="51" s="1"/>
  <c r="G68" i="4"/>
  <c r="H68" i="4" s="1"/>
  <c r="I68" i="4" s="1"/>
  <c r="F60" i="51" s="1"/>
  <c r="G76" i="4"/>
  <c r="H76" i="4" s="1"/>
  <c r="I76" i="4" s="1"/>
  <c r="G70" i="4"/>
  <c r="H70" i="4" s="1"/>
  <c r="I70" i="4" s="1"/>
  <c r="H60" i="51" s="1"/>
  <c r="G73" i="4"/>
  <c r="H73" i="4" s="1"/>
  <c r="I73" i="4" s="1"/>
  <c r="K60" i="51" s="1"/>
  <c r="G72" i="4"/>
  <c r="H72" i="4" s="1"/>
  <c r="I72" i="4" s="1"/>
  <c r="J60" i="51" s="1"/>
  <c r="E64" i="4"/>
  <c r="F64" i="4" s="1"/>
  <c r="B59" i="51" s="1"/>
  <c r="E68" i="4"/>
  <c r="F68" i="4" s="1"/>
  <c r="F59" i="51" s="1"/>
  <c r="E70" i="4"/>
  <c r="F70" i="4" s="1"/>
  <c r="H59" i="51" s="1"/>
  <c r="E69" i="4"/>
  <c r="F69" i="4" s="1"/>
  <c r="G59" i="51" s="1"/>
  <c r="E65" i="4"/>
  <c r="F65" i="4" s="1"/>
  <c r="E67" i="4"/>
  <c r="F67" i="4" s="1"/>
  <c r="E59" i="51" s="1"/>
  <c r="E76" i="4"/>
  <c r="F76" i="4" s="1"/>
  <c r="E71" i="4"/>
  <c r="F71" i="4" s="1"/>
  <c r="I59" i="51" s="1"/>
  <c r="E75" i="4"/>
  <c r="F75" i="4" s="1"/>
  <c r="E66" i="4"/>
  <c r="F66" i="4" s="1"/>
  <c r="D59" i="51" s="1"/>
  <c r="E74" i="4"/>
  <c r="F74" i="4" s="1"/>
  <c r="L59" i="51" s="1"/>
  <c r="E72" i="4"/>
  <c r="F72" i="4" s="1"/>
  <c r="J59" i="51" s="1"/>
  <c r="E73" i="4"/>
  <c r="F73" i="4" s="1"/>
  <c r="K59" i="51" s="1"/>
  <c r="I176" i="51"/>
  <c r="G69" i="45"/>
  <c r="G70" i="45" s="1"/>
  <c r="G71" i="45" s="1"/>
  <c r="G72" i="45" s="1"/>
  <c r="G95" i="37"/>
  <c r="G96" i="37" s="1"/>
  <c r="C59" i="51" l="1"/>
  <c r="C55" i="38"/>
  <c r="C12" i="54" s="1"/>
  <c r="I29" i="38"/>
  <c r="G38" i="54"/>
  <c r="I267" i="38"/>
  <c r="I268" i="51" s="1"/>
  <c r="H275" i="51" s="1"/>
  <c r="D38" i="54"/>
  <c r="F267" i="38"/>
  <c r="F268" i="51" s="1"/>
  <c r="E275" i="51" s="1"/>
  <c r="F265" i="38"/>
  <c r="F266" i="51" s="1"/>
  <c r="E277" i="51" s="1"/>
  <c r="I265" i="38"/>
  <c r="I266" i="51" s="1"/>
  <c r="H277" i="51" s="1"/>
  <c r="G265" i="38"/>
  <c r="G266" i="51" s="1"/>
  <c r="F277" i="51" s="1"/>
  <c r="G267" i="38"/>
  <c r="G268" i="51" s="1"/>
  <c r="F275" i="51" s="1"/>
  <c r="E38" i="54"/>
  <c r="C10" i="52" s="1"/>
  <c r="N265" i="38"/>
  <c r="N266" i="51" s="1"/>
  <c r="M277" i="51" s="1"/>
  <c r="H265" i="38"/>
  <c r="H266" i="51" s="1"/>
  <c r="G277" i="51" s="1"/>
  <c r="C38" i="54"/>
  <c r="E267" i="38"/>
  <c r="E268" i="51" s="1"/>
  <c r="D275" i="51" s="1"/>
  <c r="J265" i="38"/>
  <c r="J266" i="51" s="1"/>
  <c r="I277" i="51" s="1"/>
  <c r="F38" i="54"/>
  <c r="H267" i="38"/>
  <c r="H268" i="51" s="1"/>
  <c r="P265" i="38"/>
  <c r="P266" i="51" s="1"/>
  <c r="N38" i="54"/>
  <c r="P267" i="38"/>
  <c r="P268" i="51" s="1"/>
  <c r="G275" i="51"/>
  <c r="L265" i="38"/>
  <c r="L266" i="51" s="1"/>
  <c r="K277" i="51" s="1"/>
  <c r="J38" i="54"/>
  <c r="L267" i="38"/>
  <c r="L268" i="51" s="1"/>
  <c r="K275" i="51" s="1"/>
  <c r="H38" i="54"/>
  <c r="C13" i="52" s="1"/>
  <c r="J267" i="38"/>
  <c r="J268" i="51" s="1"/>
  <c r="I275" i="51" s="1"/>
  <c r="M265" i="38"/>
  <c r="M266" i="51" s="1"/>
  <c r="L277" i="51" s="1"/>
  <c r="O267" i="38"/>
  <c r="O268" i="51" s="1"/>
  <c r="M38" i="54"/>
  <c r="O265" i="38"/>
  <c r="O266" i="51" s="1"/>
  <c r="E265" i="38"/>
  <c r="E266" i="51" s="1"/>
  <c r="D277" i="51" s="1"/>
  <c r="M267" i="38"/>
  <c r="M268" i="51" s="1"/>
  <c r="L275" i="51" s="1"/>
  <c r="K38" i="54"/>
  <c r="L38" i="54"/>
  <c r="N267" i="38"/>
  <c r="N268" i="51" s="1"/>
  <c r="M275" i="51" s="1"/>
  <c r="K267" i="38"/>
  <c r="K268" i="51" s="1"/>
  <c r="J275" i="51" s="1"/>
  <c r="I38" i="54"/>
  <c r="K265" i="38"/>
  <c r="K266" i="51" s="1"/>
  <c r="B130" i="51"/>
  <c r="D148" i="54"/>
  <c r="M148" i="54"/>
  <c r="K148" i="54"/>
  <c r="I148" i="54"/>
  <c r="C18" i="52"/>
  <c r="N148" i="54"/>
  <c r="C148" i="54"/>
  <c r="J148" i="54"/>
  <c r="H148" i="54"/>
  <c r="E148" i="54"/>
  <c r="C17" i="52"/>
  <c r="L148" i="54"/>
  <c r="C11" i="52"/>
  <c r="F148" i="54"/>
  <c r="G148" i="54"/>
  <c r="G77" i="42"/>
  <c r="G78" i="42" s="1"/>
  <c r="G79" i="42" s="1"/>
  <c r="G80" i="42" s="1"/>
  <c r="M176" i="51"/>
  <c r="M55" i="38"/>
  <c r="M12" i="54" s="1"/>
  <c r="M59" i="51"/>
  <c r="M103" i="38"/>
  <c r="M60" i="54" s="1"/>
  <c r="M107" i="51"/>
  <c r="M108" i="51"/>
  <c r="M104" i="38"/>
  <c r="M61" i="54" s="1"/>
  <c r="N176" i="51"/>
  <c r="N127" i="38"/>
  <c r="N131" i="51"/>
  <c r="N103" i="38"/>
  <c r="N60" i="54" s="1"/>
  <c r="N107" i="51"/>
  <c r="N104" i="38"/>
  <c r="N61" i="54" s="1"/>
  <c r="N108" i="51"/>
  <c r="N56" i="38"/>
  <c r="N13" i="54" s="1"/>
  <c r="N60" i="51"/>
  <c r="O277" i="51" s="1"/>
  <c r="M56" i="38"/>
  <c r="M13" i="54" s="1"/>
  <c r="M60" i="51"/>
  <c r="N277" i="51" s="1"/>
  <c r="M126" i="38"/>
  <c r="M130" i="51"/>
  <c r="N175" i="51"/>
  <c r="N55" i="38"/>
  <c r="N12" i="54" s="1"/>
  <c r="N59" i="51"/>
  <c r="N126" i="38"/>
  <c r="N130" i="51"/>
  <c r="M127" i="38"/>
  <c r="M131" i="51"/>
  <c r="J126" i="38"/>
  <c r="J130" i="51"/>
  <c r="L56" i="38"/>
  <c r="L13" i="54" s="1"/>
  <c r="L55" i="38"/>
  <c r="L12" i="54" s="1"/>
  <c r="H56" i="38"/>
  <c r="H13" i="54" s="1"/>
  <c r="F55" i="38"/>
  <c r="F12" i="54" s="1"/>
  <c r="J56" i="38"/>
  <c r="J13" i="54" s="1"/>
  <c r="F56" i="38"/>
  <c r="F13" i="54" s="1"/>
  <c r="E56" i="38"/>
  <c r="E13" i="54" s="1"/>
  <c r="D56" i="38"/>
  <c r="C104" i="38"/>
  <c r="E103" i="38"/>
  <c r="E60" i="54" s="1"/>
  <c r="I103" i="38"/>
  <c r="I60" i="54" s="1"/>
  <c r="I104" i="38"/>
  <c r="I61" i="54" s="1"/>
  <c r="D103" i="38"/>
  <c r="D60" i="54" s="1"/>
  <c r="H103" i="38"/>
  <c r="H60" i="54" s="1"/>
  <c r="L103" i="38"/>
  <c r="L60" i="54" s="1"/>
  <c r="B104" i="38"/>
  <c r="B61" i="54" s="1"/>
  <c r="E104" i="38"/>
  <c r="E61" i="54" s="1"/>
  <c r="G104" i="38"/>
  <c r="G61" i="54" s="1"/>
  <c r="J104" i="38"/>
  <c r="J61" i="54" s="1"/>
  <c r="E127" i="38"/>
  <c r="C127" i="38"/>
  <c r="B127" i="38"/>
  <c r="K126" i="38"/>
  <c r="G126" i="38"/>
  <c r="C126" i="38"/>
  <c r="L126" i="38"/>
  <c r="D126" i="38"/>
  <c r="G127" i="38"/>
  <c r="K55" i="38"/>
  <c r="K12" i="54" s="1"/>
  <c r="J55" i="38"/>
  <c r="J12" i="54" s="1"/>
  <c r="D55" i="38"/>
  <c r="D12" i="54" s="1"/>
  <c r="I55" i="38"/>
  <c r="I12" i="54" s="1"/>
  <c r="E55" i="38"/>
  <c r="E12" i="54" s="1"/>
  <c r="G55" i="38"/>
  <c r="G12" i="54" s="1"/>
  <c r="H55" i="38"/>
  <c r="H12" i="54" s="1"/>
  <c r="B55" i="38"/>
  <c r="B12" i="54" s="1"/>
  <c r="K56" i="38"/>
  <c r="K13" i="54" s="1"/>
  <c r="G56" i="38"/>
  <c r="G13" i="54" s="1"/>
  <c r="B56" i="38"/>
  <c r="B13" i="54" s="1"/>
  <c r="C56" i="38"/>
  <c r="C103" i="38"/>
  <c r="C60" i="54" s="1"/>
  <c r="G103" i="38"/>
  <c r="G60" i="54" s="1"/>
  <c r="K103" i="38"/>
  <c r="K60" i="54" s="1"/>
  <c r="B103" i="38"/>
  <c r="B60" i="54" s="1"/>
  <c r="F103" i="38"/>
  <c r="F60" i="54" s="1"/>
  <c r="J103" i="38"/>
  <c r="J60" i="54" s="1"/>
  <c r="L104" i="38"/>
  <c r="L61" i="54" s="1"/>
  <c r="H104" i="38"/>
  <c r="H61" i="54" s="1"/>
  <c r="F104" i="38"/>
  <c r="F61" i="54" s="1"/>
  <c r="K104" i="38"/>
  <c r="K61" i="54" s="1"/>
  <c r="D104" i="38"/>
  <c r="D61" i="54" s="1"/>
  <c r="L127" i="38"/>
  <c r="H127" i="38"/>
  <c r="J127" i="38"/>
  <c r="F127" i="38"/>
  <c r="I126" i="38"/>
  <c r="E126" i="38"/>
  <c r="H126" i="38"/>
  <c r="F126" i="38"/>
  <c r="I127" i="38"/>
  <c r="D127" i="38"/>
  <c r="K127" i="38"/>
  <c r="B126" i="38"/>
  <c r="H71" i="4"/>
  <c r="I71" i="4" s="1"/>
  <c r="I60" i="51" s="1"/>
  <c r="J277" i="51" s="1"/>
  <c r="G111" i="4"/>
  <c r="G112" i="4" s="1"/>
  <c r="G113" i="4" s="1"/>
  <c r="G114" i="4" s="1"/>
  <c r="N275" i="51" l="1"/>
  <c r="O275" i="51"/>
  <c r="C16" i="52"/>
  <c r="C12" i="52"/>
  <c r="C14" i="52"/>
  <c r="D274" i="38"/>
  <c r="C15" i="52"/>
  <c r="E266" i="38"/>
  <c r="C13" i="54"/>
  <c r="F266" i="38"/>
  <c r="D13" i="54"/>
  <c r="E274" i="38"/>
  <c r="D282" i="38" s="1"/>
  <c r="I147" i="54"/>
  <c r="N147" i="54"/>
  <c r="L147" i="54"/>
  <c r="J147" i="54"/>
  <c r="L146" i="54"/>
  <c r="I146" i="54"/>
  <c r="M146" i="54"/>
  <c r="B146" i="54"/>
  <c r="B147" i="54"/>
  <c r="D147" i="54"/>
  <c r="K146" i="54"/>
  <c r="K147" i="54"/>
  <c r="J146" i="54"/>
  <c r="G146" i="54"/>
  <c r="G147" i="54"/>
  <c r="H146" i="54"/>
  <c r="E146" i="54"/>
  <c r="N146" i="54"/>
  <c r="M147" i="54"/>
  <c r="H147" i="54"/>
  <c r="F147" i="54"/>
  <c r="F146" i="54"/>
  <c r="C146" i="54"/>
  <c r="E147" i="54"/>
  <c r="D146" i="54"/>
  <c r="E268" i="38"/>
  <c r="E269" i="51" s="1"/>
  <c r="D278" i="51" s="1"/>
  <c r="C61" i="54"/>
  <c r="E276" i="38"/>
  <c r="F268" i="38"/>
  <c r="F269" i="51" s="1"/>
  <c r="E278" i="51" s="1"/>
  <c r="F276" i="38"/>
  <c r="E284" i="38" s="1"/>
  <c r="C297" i="38" s="1"/>
  <c r="G268" i="38"/>
  <c r="D276" i="38"/>
  <c r="D284" i="38" s="1"/>
  <c r="B297" i="38" s="1"/>
  <c r="M274" i="38"/>
  <c r="N266" i="38"/>
  <c r="H274" i="38"/>
  <c r="I266" i="38"/>
  <c r="O274" i="38"/>
  <c r="P266" i="38"/>
  <c r="G276" i="38"/>
  <c r="H268" i="38"/>
  <c r="H269" i="51" s="1"/>
  <c r="G278" i="51" s="1"/>
  <c r="L274" i="38"/>
  <c r="M266" i="38"/>
  <c r="K276" i="38"/>
  <c r="L268" i="38"/>
  <c r="F274" i="38"/>
  <c r="G266" i="38"/>
  <c r="I274" i="38"/>
  <c r="J266" i="38"/>
  <c r="M276" i="38"/>
  <c r="L284" i="38" s="1"/>
  <c r="J297" i="38" s="1"/>
  <c r="N268" i="38"/>
  <c r="N269" i="51" s="1"/>
  <c r="M278" i="51" s="1"/>
  <c r="K274" i="38"/>
  <c r="L266" i="38"/>
  <c r="L276" i="38"/>
  <c r="M268" i="38"/>
  <c r="M269" i="51" s="1"/>
  <c r="L278" i="51" s="1"/>
  <c r="J276" i="38"/>
  <c r="K268" i="38"/>
  <c r="I276" i="38"/>
  <c r="J268" i="38"/>
  <c r="J269" i="51" s="1"/>
  <c r="I278" i="51" s="1"/>
  <c r="H276" i="38"/>
  <c r="I268" i="38"/>
  <c r="G274" i="38"/>
  <c r="H266" i="38"/>
  <c r="N274" i="38"/>
  <c r="O266" i="38"/>
  <c r="O276" i="38"/>
  <c r="N284" i="38" s="1"/>
  <c r="L297" i="38" s="1"/>
  <c r="P268" i="38"/>
  <c r="P269" i="51" s="1"/>
  <c r="O278" i="51" s="1"/>
  <c r="N276" i="38"/>
  <c r="O268" i="38"/>
  <c r="I56" i="38"/>
  <c r="I13" i="54" s="1"/>
  <c r="G284" i="38" l="1"/>
  <c r="E297" i="38" s="1"/>
  <c r="M284" i="38"/>
  <c r="K297" i="38" s="1"/>
  <c r="J284" i="38"/>
  <c r="H297" i="38" s="1"/>
  <c r="I284" i="38"/>
  <c r="G297" i="38" s="1"/>
  <c r="K284" i="38"/>
  <c r="I297" i="38" s="1"/>
  <c r="L277" i="38"/>
  <c r="H284" i="38"/>
  <c r="F297" i="38" s="1"/>
  <c r="F284" i="38"/>
  <c r="D297" i="38" s="1"/>
  <c r="C9" i="52"/>
  <c r="C122" i="54" a="1"/>
  <c r="O277" i="38"/>
  <c r="E282" i="38"/>
  <c r="O275" i="38"/>
  <c r="P267" i="51"/>
  <c r="O276" i="51" s="1"/>
  <c r="M275" i="38"/>
  <c r="N267" i="51"/>
  <c r="M276" i="51" s="1"/>
  <c r="K275" i="38"/>
  <c r="L267" i="51"/>
  <c r="K276" i="51" s="1"/>
  <c r="I275" i="38"/>
  <c r="J267" i="51"/>
  <c r="I276" i="51" s="1"/>
  <c r="E275" i="38"/>
  <c r="F267" i="51"/>
  <c r="E276" i="51" s="1"/>
  <c r="N275" i="38"/>
  <c r="M283" i="38" s="1"/>
  <c r="K296" i="38" s="1"/>
  <c r="O267" i="51"/>
  <c r="N276" i="51" s="1"/>
  <c r="L275" i="38"/>
  <c r="K283" i="38" s="1"/>
  <c r="I296" i="38" s="1"/>
  <c r="M267" i="51"/>
  <c r="L276" i="51" s="1"/>
  <c r="G275" i="38"/>
  <c r="H267" i="51"/>
  <c r="G276" i="51" s="1"/>
  <c r="H275" i="38"/>
  <c r="I267" i="51"/>
  <c r="H276" i="51" s="1"/>
  <c r="D277" i="38"/>
  <c r="F275" i="38"/>
  <c r="G267" i="51"/>
  <c r="F276" i="51" s="1"/>
  <c r="E267" i="51"/>
  <c r="D276" i="51" s="1"/>
  <c r="D275" i="38"/>
  <c r="M277" i="38"/>
  <c r="J277" i="38"/>
  <c r="K269" i="51"/>
  <c r="J278" i="51" s="1"/>
  <c r="K277" i="38"/>
  <c r="L269" i="51"/>
  <c r="K278" i="51" s="1"/>
  <c r="I277" i="38"/>
  <c r="F277" i="38"/>
  <c r="G269" i="51"/>
  <c r="F278" i="51" s="1"/>
  <c r="C147" i="54"/>
  <c r="G277" i="38"/>
  <c r="E277" i="38"/>
  <c r="O315" i="38" s="1" a="1"/>
  <c r="Q318" i="38" s="1"/>
  <c r="N277" i="38"/>
  <c r="O269" i="51"/>
  <c r="N278" i="51" s="1"/>
  <c r="H277" i="38"/>
  <c r="I269" i="51"/>
  <c r="H278" i="51" s="1"/>
  <c r="J274" i="38"/>
  <c r="I282" i="38" s="1"/>
  <c r="K266" i="38"/>
  <c r="J282" i="38"/>
  <c r="F282" i="38"/>
  <c r="K282" i="38"/>
  <c r="M282" i="38"/>
  <c r="G282" i="38"/>
  <c r="H282" i="38"/>
  <c r="N282" i="38"/>
  <c r="L282" i="38"/>
  <c r="C124" i="54" l="1"/>
  <c r="D126" i="54"/>
  <c r="D123" i="54"/>
  <c r="C126" i="54"/>
  <c r="D130" i="54"/>
  <c r="D144" i="54" s="1"/>
  <c r="D145" i="54" s="1"/>
  <c r="E135" i="54"/>
  <c r="C128" i="54"/>
  <c r="D124" i="54"/>
  <c r="C129" i="54"/>
  <c r="E128" i="54"/>
  <c r="D131" i="54"/>
  <c r="E133" i="54"/>
  <c r="C131" i="54"/>
  <c r="C123" i="54"/>
  <c r="D133" i="54"/>
  <c r="E134" i="54"/>
  <c r="C127" i="54"/>
  <c r="E125" i="54"/>
  <c r="D128" i="54"/>
  <c r="D125" i="54"/>
  <c r="E130" i="54"/>
  <c r="E144" i="54" s="1"/>
  <c r="E145" i="54" s="1"/>
  <c r="C130" i="54"/>
  <c r="C144" i="54" s="1"/>
  <c r="C145" i="54" s="1"/>
  <c r="D134" i="54"/>
  <c r="C125" i="54"/>
  <c r="E131" i="54"/>
  <c r="D135" i="54"/>
  <c r="E122" i="54"/>
  <c r="D129" i="54"/>
  <c r="E124" i="54"/>
  <c r="C133" i="54"/>
  <c r="E127" i="54"/>
  <c r="E129" i="54"/>
  <c r="E132" i="54"/>
  <c r="D132" i="54"/>
  <c r="C132" i="54"/>
  <c r="C135" i="54"/>
  <c r="C122" i="54"/>
  <c r="E126" i="54"/>
  <c r="D122" i="54"/>
  <c r="D127" i="54"/>
  <c r="C134" i="54"/>
  <c r="E123" i="54"/>
  <c r="D283" i="38"/>
  <c r="G283" i="38"/>
  <c r="E296" i="38" s="1"/>
  <c r="E283" i="38"/>
  <c r="C296" i="38" s="1"/>
  <c r="F283" i="38"/>
  <c r="D296" i="38" s="1"/>
  <c r="H283" i="38"/>
  <c r="F296" i="38" s="1"/>
  <c r="L283" i="38"/>
  <c r="J296" i="38" s="1"/>
  <c r="J275" i="38"/>
  <c r="I283" i="38" s="1"/>
  <c r="G296" i="38" s="1"/>
  <c r="K267" i="51"/>
  <c r="J276" i="51" s="1"/>
  <c r="J283" i="38"/>
  <c r="H296" i="38" s="1"/>
  <c r="N283" i="38"/>
  <c r="L296" i="38" s="1"/>
  <c r="L285" i="38"/>
  <c r="J298" i="38" s="1"/>
  <c r="M285" i="38"/>
  <c r="K298" i="38" s="1"/>
  <c r="N285" i="38"/>
  <c r="L298" i="38" s="1"/>
  <c r="K285" i="38"/>
  <c r="I298" i="38" s="1"/>
  <c r="H285" i="38"/>
  <c r="F298" i="38" s="1"/>
  <c r="D285" i="38"/>
  <c r="B298" i="38" s="1"/>
  <c r="F285" i="38"/>
  <c r="D298" i="38" s="1"/>
  <c r="J285" i="38"/>
  <c r="H298" i="38" s="1"/>
  <c r="Q315" i="38"/>
  <c r="O318" i="38"/>
  <c r="O319" i="38"/>
  <c r="P322" i="38"/>
  <c r="O322" i="38"/>
  <c r="O316" i="38"/>
  <c r="Q319" i="38"/>
  <c r="P316" i="38"/>
  <c r="P321" i="38"/>
  <c r="P320" i="38"/>
  <c r="O317" i="38"/>
  <c r="Q322" i="38"/>
  <c r="P319" i="38"/>
  <c r="G285" i="38"/>
  <c r="E298" i="38" s="1"/>
  <c r="E285" i="38"/>
  <c r="C298" i="38" s="1"/>
  <c r="O320" i="38"/>
  <c r="Q320" i="38"/>
  <c r="Q321" i="38"/>
  <c r="O321" i="38"/>
  <c r="Q317" i="38"/>
  <c r="P318" i="38"/>
  <c r="O315" i="38"/>
  <c r="P315" i="38"/>
  <c r="P317" i="38"/>
  <c r="Q316" i="38"/>
  <c r="I285" i="38"/>
  <c r="G298" i="38" s="1"/>
  <c r="G295" i="38"/>
  <c r="C295" i="38"/>
  <c r="J295" i="38"/>
  <c r="E295" i="38"/>
  <c r="B295" i="38"/>
  <c r="L295" i="38"/>
  <c r="D295" i="38"/>
  <c r="F295" i="38"/>
  <c r="I295" i="38"/>
  <c r="H295" i="38"/>
  <c r="K295" i="38"/>
  <c r="J289" i="38" l="1"/>
  <c r="J294" i="38" s="1"/>
  <c r="F289" i="38"/>
  <c r="F294" i="38" s="1"/>
  <c r="K289" i="38"/>
  <c r="K294" i="38" s="1"/>
  <c r="B296" i="38"/>
  <c r="B289" i="38"/>
  <c r="B294" i="38" s="1"/>
  <c r="L289" i="38"/>
  <c r="L294" i="38" s="1"/>
  <c r="I289" i="38"/>
  <c r="I294" i="38" s="1"/>
  <c r="D289" i="38"/>
  <c r="D294" i="38" s="1"/>
  <c r="E289" i="38"/>
  <c r="E294" i="38" s="1"/>
  <c r="C289" i="38"/>
  <c r="C324" i="38" s="1"/>
  <c r="H289" i="38"/>
  <c r="H294" i="38" s="1"/>
  <c r="G289" i="38"/>
  <c r="G294" i="38" s="1"/>
  <c r="F324" i="38"/>
  <c r="C294" i="38" l="1"/>
  <c r="B324" i="38"/>
  <c r="G324" i="38"/>
  <c r="C19" i="38" s="1"/>
  <c r="C14" i="38"/>
  <c r="L324" i="38"/>
  <c r="C23" i="38" s="1"/>
  <c r="G18" i="52" s="1"/>
  <c r="K324" i="38"/>
  <c r="E324" i="38"/>
  <c r="C17" i="38" s="1"/>
  <c r="I324" i="38"/>
  <c r="C21" i="38" s="1"/>
  <c r="H324" i="38"/>
  <c r="C20" i="38" s="1"/>
  <c r="D324" i="38"/>
  <c r="C16" i="38" s="1"/>
  <c r="C15" i="38"/>
  <c r="C18" i="38"/>
  <c r="J324" i="38"/>
  <c r="C22" i="38" s="1"/>
  <c r="G14" i="52" l="1"/>
  <c r="G13" i="52"/>
  <c r="G9" i="52"/>
  <c r="G15" i="52"/>
  <c r="G12" i="52"/>
  <c r="G17" i="52"/>
  <c r="G10" i="52"/>
  <c r="G11" i="52"/>
  <c r="G16" i="52"/>
  <c r="Z317" i="51" l="1" a="1"/>
  <c r="AA323" i="51" s="1"/>
  <c r="U293" i="51" a="1"/>
  <c r="V293" i="51" s="1"/>
  <c r="U317" i="51" a="1"/>
  <c r="W321" i="51" s="1"/>
  <c r="Z305" i="51" a="1"/>
  <c r="AA306" i="51" s="1"/>
  <c r="U281" i="51" a="1"/>
  <c r="W282" i="51" s="1"/>
  <c r="P305" i="51" a="1"/>
  <c r="Q312" i="51" s="1"/>
  <c r="Z281" i="51" a="1"/>
  <c r="Z281" i="51" s="1"/>
  <c r="P317" i="51" a="1"/>
  <c r="R319" i="51" s="1"/>
  <c r="P293" i="51" a="1"/>
  <c r="R296" i="51" s="1"/>
  <c r="U305" i="51" a="1"/>
  <c r="W311" i="51" s="1"/>
  <c r="P281" i="51" a="1"/>
  <c r="R281" i="51" s="1"/>
  <c r="Z293" i="51" a="1"/>
  <c r="AA300" i="51" s="1"/>
  <c r="V298" i="51" l="1"/>
  <c r="U299" i="51"/>
  <c r="U297" i="51"/>
  <c r="AB323" i="51"/>
  <c r="Z321" i="51"/>
  <c r="AA317" i="51"/>
  <c r="AB321" i="51"/>
  <c r="AB322" i="51"/>
  <c r="Z319" i="51"/>
  <c r="Z320" i="51"/>
  <c r="Z317" i="51"/>
  <c r="AB324" i="51"/>
  <c r="Z323" i="51"/>
  <c r="AB319" i="51"/>
  <c r="Z324" i="51"/>
  <c r="AB318" i="51"/>
  <c r="AA319" i="51"/>
  <c r="AA321" i="51"/>
  <c r="Z322" i="51"/>
  <c r="AB320" i="51"/>
  <c r="AA318" i="51"/>
  <c r="AA322" i="51"/>
  <c r="AB317" i="51"/>
  <c r="AA324" i="51"/>
  <c r="Z318" i="51"/>
  <c r="AA320" i="51"/>
  <c r="V283" i="51"/>
  <c r="R295" i="51"/>
  <c r="U287" i="51"/>
  <c r="V288" i="51"/>
  <c r="W281" i="51"/>
  <c r="R300" i="51"/>
  <c r="W287" i="51"/>
  <c r="Q294" i="51"/>
  <c r="U281" i="51"/>
  <c r="W288" i="51"/>
  <c r="P294" i="51"/>
  <c r="V282" i="51"/>
  <c r="P295" i="51"/>
  <c r="W286" i="51"/>
  <c r="U286" i="51"/>
  <c r="U285" i="51"/>
  <c r="Q293" i="51"/>
  <c r="V287" i="51"/>
  <c r="U283" i="51"/>
  <c r="V285" i="51"/>
  <c r="U282" i="51"/>
  <c r="W283" i="51"/>
  <c r="P293" i="51"/>
  <c r="V286" i="51"/>
  <c r="V284" i="51"/>
  <c r="P299" i="51"/>
  <c r="W284" i="51"/>
  <c r="R298" i="51"/>
  <c r="P308" i="51"/>
  <c r="P298" i="51"/>
  <c r="Q311" i="51"/>
  <c r="Q297" i="51"/>
  <c r="R312" i="51"/>
  <c r="AB282" i="51"/>
  <c r="Z288" i="51"/>
  <c r="W318" i="51"/>
  <c r="W300" i="51"/>
  <c r="Z284" i="51"/>
  <c r="U318" i="51"/>
  <c r="P296" i="51"/>
  <c r="R297" i="51"/>
  <c r="P297" i="51"/>
  <c r="Q296" i="51"/>
  <c r="AA287" i="51"/>
  <c r="P287" i="51"/>
  <c r="P312" i="51"/>
  <c r="Q288" i="51"/>
  <c r="W323" i="51"/>
  <c r="U321" i="51"/>
  <c r="R286" i="51"/>
  <c r="V323" i="51"/>
  <c r="Q286" i="51"/>
  <c r="AB285" i="51"/>
  <c r="V317" i="51"/>
  <c r="W320" i="51"/>
  <c r="Z287" i="51"/>
  <c r="U322" i="51"/>
  <c r="Q287" i="51"/>
  <c r="Q300" i="51"/>
  <c r="P300" i="51"/>
  <c r="W285" i="51"/>
  <c r="Q298" i="51"/>
  <c r="U288" i="51"/>
  <c r="U284" i="51"/>
  <c r="AB283" i="51"/>
  <c r="U323" i="51"/>
  <c r="AA286" i="51"/>
  <c r="Q299" i="51"/>
  <c r="Q295" i="51"/>
  <c r="V281" i="51"/>
  <c r="P284" i="51"/>
  <c r="V320" i="51"/>
  <c r="R294" i="51"/>
  <c r="W319" i="51"/>
  <c r="Z300" i="51"/>
  <c r="AB287" i="51"/>
  <c r="AA283" i="51"/>
  <c r="R285" i="51"/>
  <c r="R288" i="51"/>
  <c r="R284" i="51"/>
  <c r="Q285" i="51"/>
  <c r="R287" i="51"/>
  <c r="AA307" i="51"/>
  <c r="AB311" i="51"/>
  <c r="Z309" i="51"/>
  <c r="R299" i="51"/>
  <c r="R293" i="51"/>
  <c r="P281" i="51"/>
  <c r="P288" i="51"/>
  <c r="AB306" i="51"/>
  <c r="AB297" i="51"/>
  <c r="AB298" i="51"/>
  <c r="Z298" i="51"/>
  <c r="AB296" i="51"/>
  <c r="AA295" i="51"/>
  <c r="AA294" i="51"/>
  <c r="AA298" i="51"/>
  <c r="Z295" i="51"/>
  <c r="AB300" i="51"/>
  <c r="AB295" i="51"/>
  <c r="AA296" i="51"/>
  <c r="Z294" i="51"/>
  <c r="AA297" i="51"/>
  <c r="P324" i="51"/>
  <c r="R317" i="51"/>
  <c r="Q324" i="51"/>
  <c r="P320" i="51"/>
  <c r="R321" i="51"/>
  <c r="Q318" i="51"/>
  <c r="P322" i="51"/>
  <c r="P323" i="51"/>
  <c r="Q319" i="51"/>
  <c r="Q320" i="51"/>
  <c r="R320" i="51"/>
  <c r="AB309" i="51"/>
  <c r="AA311" i="51"/>
  <c r="Z307" i="51"/>
  <c r="Z305" i="51"/>
  <c r="AA309" i="51"/>
  <c r="AB307" i="51"/>
  <c r="Z310" i="51"/>
  <c r="AA310" i="51"/>
  <c r="AA312" i="51"/>
  <c r="Z308" i="51"/>
  <c r="AB308" i="51"/>
  <c r="AA308" i="51"/>
  <c r="AB310" i="51"/>
  <c r="AA305" i="51"/>
  <c r="AB293" i="51"/>
  <c r="R322" i="51"/>
  <c r="Z312" i="51"/>
  <c r="AB294" i="51"/>
  <c r="Q323" i="51"/>
  <c r="AB305" i="51"/>
  <c r="Z297" i="51"/>
  <c r="P318" i="51"/>
  <c r="Z311" i="51"/>
  <c r="AB312" i="51"/>
  <c r="Q322" i="51"/>
  <c r="P319" i="51"/>
  <c r="Z306" i="51"/>
  <c r="R318" i="51"/>
  <c r="Z293" i="51"/>
  <c r="P317" i="51"/>
  <c r="Z299" i="51"/>
  <c r="Q321" i="51"/>
  <c r="Q317" i="51"/>
  <c r="R323" i="51"/>
  <c r="Z296" i="51"/>
  <c r="R324" i="51"/>
  <c r="AA299" i="51"/>
  <c r="AB299" i="51"/>
  <c r="P321" i="51"/>
  <c r="AA293" i="51"/>
  <c r="AA284" i="51"/>
  <c r="R283" i="51"/>
  <c r="AA288" i="51"/>
  <c r="Z282" i="51"/>
  <c r="P283" i="51"/>
  <c r="Q284" i="51"/>
  <c r="V321" i="51"/>
  <c r="W322" i="51"/>
  <c r="AB281" i="51"/>
  <c r="P286" i="51"/>
  <c r="P282" i="51"/>
  <c r="U319" i="51"/>
  <c r="AA285" i="51"/>
  <c r="V319" i="51"/>
  <c r="AA282" i="51"/>
  <c r="AB286" i="51"/>
  <c r="R282" i="51"/>
  <c r="U320" i="51"/>
  <c r="U324" i="51"/>
  <c r="W317" i="51"/>
  <c r="W297" i="51"/>
  <c r="Z285" i="51"/>
  <c r="Q282" i="51"/>
  <c r="Q281" i="51"/>
  <c r="V324" i="51"/>
  <c r="Z283" i="51"/>
  <c r="P307" i="51"/>
  <c r="W324" i="51"/>
  <c r="AB288" i="51"/>
  <c r="AA281" i="51"/>
  <c r="R306" i="51"/>
  <c r="Q283" i="51"/>
  <c r="U317" i="51"/>
  <c r="V318" i="51"/>
  <c r="AB284" i="51"/>
  <c r="P285" i="51"/>
  <c r="Z286" i="51"/>
  <c r="R307" i="51"/>
  <c r="V322" i="51"/>
  <c r="W306" i="51"/>
  <c r="W312" i="51"/>
  <c r="W305" i="51"/>
  <c r="U305" i="51"/>
  <c r="U311" i="51"/>
  <c r="U309" i="51"/>
  <c r="W309" i="51"/>
  <c r="V311" i="51"/>
  <c r="V312" i="51"/>
  <c r="V305" i="51"/>
  <c r="U294" i="51"/>
  <c r="W308" i="51"/>
  <c r="U310" i="51"/>
  <c r="U295" i="51"/>
  <c r="V299" i="51"/>
  <c r="R310" i="51"/>
  <c r="U298" i="51"/>
  <c r="W310" i="51"/>
  <c r="V309" i="51"/>
  <c r="V297" i="51"/>
  <c r="W298" i="51"/>
  <c r="Q308" i="51"/>
  <c r="Q305" i="51"/>
  <c r="V307" i="51"/>
  <c r="W296" i="51"/>
  <c r="P306" i="51"/>
  <c r="R305" i="51"/>
  <c r="Q309" i="51"/>
  <c r="U306" i="51"/>
  <c r="U300" i="51"/>
  <c r="R311" i="51"/>
  <c r="P310" i="51"/>
  <c r="U296" i="51"/>
  <c r="V310" i="51"/>
  <c r="V306" i="51"/>
  <c r="W299" i="51"/>
  <c r="W295" i="51"/>
  <c r="Q310" i="51"/>
  <c r="V294" i="51"/>
  <c r="W307" i="51"/>
  <c r="U307" i="51"/>
  <c r="V300" i="51"/>
  <c r="V296" i="51"/>
  <c r="R309" i="51"/>
  <c r="R308" i="51"/>
  <c r="U312" i="51"/>
  <c r="W293" i="51"/>
  <c r="P309" i="51"/>
  <c r="P305" i="51"/>
  <c r="Q307" i="51"/>
  <c r="V308" i="51"/>
  <c r="V295" i="51"/>
  <c r="Q306" i="51"/>
  <c r="P311" i="51"/>
  <c r="U293" i="51"/>
  <c r="U308" i="51"/>
  <c r="W294" i="51"/>
  <c r="B46" i="51" l="1"/>
  <c r="F12" i="52" s="1"/>
  <c r="B52" i="51"/>
  <c r="F18" i="52" s="1"/>
  <c r="B45" i="51"/>
  <c r="F11" i="52" s="1"/>
  <c r="B43" i="51"/>
  <c r="B42" i="51"/>
  <c r="B44" i="51"/>
  <c r="F10" i="52" s="1"/>
  <c r="B49" i="51"/>
  <c r="F15" i="52" s="1"/>
  <c r="B51" i="51"/>
  <c r="F17" i="52" s="1"/>
  <c r="B47" i="51"/>
  <c r="F13" i="52" s="1"/>
  <c r="B50" i="51"/>
  <c r="F16" i="52" s="1"/>
  <c r="B48" i="51"/>
  <c r="F14" i="5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Shradhye Shrestha</author>
  </authors>
  <commentList>
    <comment ref="B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B18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B28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Shradhye Shrestha: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</commentList>
</comments>
</file>

<file path=xl/sharedStrings.xml><?xml version="1.0" encoding="utf-8"?>
<sst xmlns="http://schemas.openxmlformats.org/spreadsheetml/2006/main" count="994" uniqueCount="325">
  <si>
    <t>Method</t>
  </si>
  <si>
    <t>Return period (years)</t>
  </si>
  <si>
    <t>Q2</t>
  </si>
  <si>
    <t>Q10</t>
  </si>
  <si>
    <t>Q100</t>
  </si>
  <si>
    <t>Q500</t>
  </si>
  <si>
    <t>Q1000</t>
  </si>
  <si>
    <t>Gumbel</t>
  </si>
  <si>
    <t>Log normal</t>
  </si>
  <si>
    <t>Log Pearson III</t>
  </si>
  <si>
    <t xml:space="preserve">HYDROLOGICAL CALCULATION </t>
  </si>
  <si>
    <t>Job</t>
  </si>
  <si>
    <t>Subject</t>
  </si>
  <si>
    <t>Date</t>
  </si>
  <si>
    <t>Flow data</t>
  </si>
  <si>
    <t>Year</t>
  </si>
  <si>
    <t>Maximum flow</t>
  </si>
  <si>
    <t>X = Qi</t>
  </si>
  <si>
    <t>y = log(x)</t>
  </si>
  <si>
    <t>Statistical Parameter</t>
  </si>
  <si>
    <t>Mean</t>
  </si>
  <si>
    <t>Std. Deviation</t>
  </si>
  <si>
    <t>s</t>
  </si>
  <si>
    <t>Coef Skew</t>
  </si>
  <si>
    <t>Statistical Analiysis</t>
  </si>
  <si>
    <t>Return Period</t>
  </si>
  <si>
    <t>Parameters</t>
  </si>
  <si>
    <t>Log Pearsion III</t>
  </si>
  <si>
    <t>p</t>
  </si>
  <si>
    <t>w</t>
  </si>
  <si>
    <t>z</t>
  </si>
  <si>
    <t>X</t>
  </si>
  <si>
    <t>yT</t>
  </si>
  <si>
    <t>xT</t>
  </si>
  <si>
    <t>Calculation</t>
  </si>
  <si>
    <t>Extreme Discharges</t>
  </si>
  <si>
    <t>Q5</t>
  </si>
  <si>
    <t>Q20</t>
  </si>
  <si>
    <t>Q50</t>
  </si>
  <si>
    <t>Q200</t>
  </si>
  <si>
    <t>1.) Flood flow analysis (CAR Method)</t>
  </si>
  <si>
    <t>Return period</t>
  </si>
  <si>
    <t>River:</t>
  </si>
  <si>
    <t>Dordi I Hydroelectric Project</t>
  </si>
  <si>
    <t>Hydro Consult Pvt Ltd</t>
  </si>
  <si>
    <t xml:space="preserve">Frequency analysis of station </t>
  </si>
  <si>
    <t xml:space="preserve">Stration No. </t>
  </si>
  <si>
    <t xml:space="preserve">Location: </t>
  </si>
  <si>
    <t>Job No:</t>
  </si>
  <si>
    <t>Calculated by:</t>
  </si>
  <si>
    <t>Checked by:</t>
  </si>
  <si>
    <t>Refernce:  Applied Hydrology by VT Chow</t>
  </si>
  <si>
    <r>
      <t>y</t>
    </r>
    <r>
      <rPr>
        <vertAlign val="subscript"/>
        <sz val="10"/>
        <rFont val="Gill Sans MT"/>
        <family val="2"/>
      </rPr>
      <t>mean</t>
    </r>
  </si>
  <si>
    <r>
      <t>C</t>
    </r>
    <r>
      <rPr>
        <vertAlign val="subscript"/>
        <sz val="10"/>
        <rFont val="Gill Sans MT"/>
        <family val="2"/>
      </rPr>
      <t>s</t>
    </r>
  </si>
  <si>
    <r>
      <t>X</t>
    </r>
    <r>
      <rPr>
        <vertAlign val="subscript"/>
        <sz val="10"/>
        <rFont val="Gill Sans MT"/>
        <family val="2"/>
      </rPr>
      <t>T</t>
    </r>
  </si>
  <si>
    <r>
      <t>K</t>
    </r>
    <r>
      <rPr>
        <vertAlign val="subscript"/>
        <sz val="10"/>
        <rFont val="Gill Sans MT"/>
        <family val="2"/>
      </rPr>
      <t>T</t>
    </r>
  </si>
  <si>
    <t>Station Details</t>
  </si>
  <si>
    <t xml:space="preserve">Source: </t>
  </si>
  <si>
    <t>Flood flow estimation</t>
  </si>
  <si>
    <t>Gauge station</t>
  </si>
  <si>
    <t xml:space="preserve">Total </t>
  </si>
  <si>
    <t>Above 5000</t>
  </si>
  <si>
    <t>Below 5000</t>
  </si>
  <si>
    <t>Hydrological Calculation</t>
  </si>
  <si>
    <t xml:space="preserve">Area  below 5000 m </t>
  </si>
  <si>
    <t>Hydro-Consult Engineering Ltd</t>
  </si>
  <si>
    <t xml:space="preserve">Calculated by: SP Bhusal </t>
  </si>
  <si>
    <t xml:space="preserve">Sabaya Khola </t>
  </si>
  <si>
    <t xml:space="preserve">Sankhuwa HEP </t>
  </si>
  <si>
    <t>Flood flow at Solukhola HP Intake site</t>
  </si>
  <si>
    <t>Sankhuwa at Intake</t>
  </si>
  <si>
    <t>Sankhuwa at PH</t>
  </si>
  <si>
    <t xml:space="preserve">Sabaya  Khola </t>
  </si>
  <si>
    <t>-</t>
  </si>
  <si>
    <r>
      <t>Y</t>
    </r>
    <r>
      <rPr>
        <vertAlign val="subscript"/>
        <sz val="8"/>
        <rFont val="Gill Sans MT"/>
        <family val="2"/>
      </rPr>
      <t>100</t>
    </r>
    <r>
      <rPr>
        <sz val="8"/>
        <rFont val="Gill Sans MT"/>
        <family val="2"/>
      </rPr>
      <t>-Y</t>
    </r>
    <r>
      <rPr>
        <vertAlign val="subscript"/>
        <sz val="8"/>
        <rFont val="Gill Sans MT"/>
        <family val="2"/>
      </rPr>
      <t>2</t>
    </r>
  </si>
  <si>
    <t>dz</t>
  </si>
  <si>
    <r>
      <t>y</t>
    </r>
    <r>
      <rPr>
        <vertAlign val="subscript"/>
        <sz val="8"/>
        <rFont val="Gill Sans MT"/>
        <family val="2"/>
      </rPr>
      <t>mean</t>
    </r>
  </si>
  <si>
    <t>Bimalnagar</t>
  </si>
  <si>
    <t>Marsyangdi</t>
  </si>
  <si>
    <t>Bhakunde Besi (439.35)</t>
  </si>
  <si>
    <t>Bhakundebesi</t>
  </si>
  <si>
    <t>Bimal Nagar (439.7)</t>
  </si>
  <si>
    <t>Log Normal</t>
  </si>
  <si>
    <t>Log Pearson</t>
  </si>
  <si>
    <t>Old</t>
  </si>
  <si>
    <t>Present</t>
  </si>
  <si>
    <t>S.P Bhusal</t>
  </si>
  <si>
    <t>Extreme flow Summary, DHM</t>
  </si>
  <si>
    <r>
      <t>Q</t>
    </r>
    <r>
      <rPr>
        <b/>
        <vertAlign val="subscript"/>
        <sz val="10"/>
        <rFont val="Gill Sans MT"/>
        <family val="2"/>
      </rPr>
      <t>max instantaneous</t>
    </r>
  </si>
  <si>
    <t>...</t>
  </si>
  <si>
    <t>1.) Marsyangdi at Bhakunde Besi (439.35)</t>
  </si>
  <si>
    <t>S.no.</t>
  </si>
  <si>
    <t>Station Index</t>
  </si>
  <si>
    <t>Area above 5000 masl</t>
  </si>
  <si>
    <t>Total Area, km2</t>
  </si>
  <si>
    <t>Area below 3000 masl</t>
  </si>
  <si>
    <t>3000 masl &lt; Area &lt; 5000 masl</t>
  </si>
  <si>
    <t>Area below 5000 masl</t>
  </si>
  <si>
    <t>Q2.33</t>
  </si>
  <si>
    <r>
      <t>Catchment area, km</t>
    </r>
    <r>
      <rPr>
        <vertAlign val="superscript"/>
        <sz val="11"/>
        <rFont val="Gill Sans MT"/>
        <family val="2"/>
      </rPr>
      <t>2</t>
    </r>
  </si>
  <si>
    <t>Y</t>
  </si>
  <si>
    <t>Log(T)</t>
  </si>
  <si>
    <t>Log (MFR)</t>
  </si>
  <si>
    <r>
      <t>Km</t>
    </r>
    <r>
      <rPr>
        <vertAlign val="superscript"/>
        <sz val="11"/>
        <rFont val="Gill Sans MT"/>
        <family val="2"/>
      </rPr>
      <t>2</t>
    </r>
  </si>
  <si>
    <r>
      <t>Values of  Q</t>
    </r>
    <r>
      <rPr>
        <b/>
        <vertAlign val="subscript"/>
        <sz val="11"/>
        <rFont val="Gill Sans MT"/>
        <family val="2"/>
      </rPr>
      <t>T</t>
    </r>
    <r>
      <rPr>
        <b/>
        <sz val="11"/>
        <rFont val="Gill Sans MT"/>
        <family val="2"/>
      </rPr>
      <t>/Q</t>
    </r>
    <r>
      <rPr>
        <b/>
        <vertAlign val="subscript"/>
        <sz val="11"/>
        <rFont val="Gill Sans MT"/>
        <family val="2"/>
      </rPr>
      <t>2.33</t>
    </r>
  </si>
  <si>
    <t>Flood  Ananlysis by Regional Flood Frequency Analysis Method (RFFA)</t>
  </si>
  <si>
    <t>A.Flood magnitudes of T return period of the stations considered in RFFA</t>
  </si>
  <si>
    <t xml:space="preserve">B. Catchment details of the stations considered in flood frequency analysis </t>
  </si>
  <si>
    <t xml:space="preserve"> C. Regional  Flood Frequency analysis</t>
  </si>
  <si>
    <t xml:space="preserve"> T year flood magnitude of the stations considered in RFFA</t>
  </si>
  <si>
    <r>
      <t>Q</t>
    </r>
    <r>
      <rPr>
        <vertAlign val="subscript"/>
        <sz val="11"/>
        <rFont val="Gill Sans MT"/>
        <family val="2"/>
      </rPr>
      <t>2.33</t>
    </r>
    <r>
      <rPr>
        <sz val="11"/>
        <rFont val="Gill Sans MT"/>
        <family val="2"/>
      </rPr>
      <t xml:space="preserve"> =</t>
    </r>
  </si>
  <si>
    <t>Where, A= Area of catchment below 5000 masl</t>
  </si>
  <si>
    <r>
      <t>Q</t>
    </r>
    <r>
      <rPr>
        <b/>
        <vertAlign val="subscript"/>
        <sz val="14"/>
        <rFont val="Gill Sans MT"/>
        <family val="2"/>
      </rPr>
      <t>2</t>
    </r>
  </si>
  <si>
    <r>
      <t>Q</t>
    </r>
    <r>
      <rPr>
        <b/>
        <vertAlign val="subscript"/>
        <sz val="14"/>
        <rFont val="Gill Sans MT"/>
        <family val="2"/>
      </rPr>
      <t>5</t>
    </r>
  </si>
  <si>
    <r>
      <t>Q</t>
    </r>
    <r>
      <rPr>
        <b/>
        <vertAlign val="subscript"/>
        <sz val="14"/>
        <rFont val="Gill Sans MT"/>
        <family val="2"/>
      </rPr>
      <t>10</t>
    </r>
  </si>
  <si>
    <r>
      <t>Q</t>
    </r>
    <r>
      <rPr>
        <b/>
        <vertAlign val="subscript"/>
        <sz val="14"/>
        <rFont val="Gill Sans MT"/>
        <family val="2"/>
      </rPr>
      <t>20</t>
    </r>
  </si>
  <si>
    <r>
      <t>Q</t>
    </r>
    <r>
      <rPr>
        <b/>
        <vertAlign val="subscript"/>
        <sz val="14"/>
        <rFont val="Gill Sans MT"/>
        <family val="2"/>
      </rPr>
      <t>50</t>
    </r>
  </si>
  <si>
    <r>
      <t>Q</t>
    </r>
    <r>
      <rPr>
        <b/>
        <vertAlign val="subscript"/>
        <sz val="14"/>
        <rFont val="Gill Sans MT"/>
        <family val="2"/>
      </rPr>
      <t>100</t>
    </r>
  </si>
  <si>
    <r>
      <t>Q</t>
    </r>
    <r>
      <rPr>
        <b/>
        <vertAlign val="subscript"/>
        <sz val="14"/>
        <rFont val="Gill Sans MT"/>
        <family val="2"/>
      </rPr>
      <t>200</t>
    </r>
  </si>
  <si>
    <r>
      <t>Q</t>
    </r>
    <r>
      <rPr>
        <b/>
        <vertAlign val="subscript"/>
        <sz val="14"/>
        <rFont val="Gill Sans MT"/>
        <family val="2"/>
      </rPr>
      <t>500</t>
    </r>
  </si>
  <si>
    <r>
      <t>Q</t>
    </r>
    <r>
      <rPr>
        <b/>
        <vertAlign val="subscript"/>
        <sz val="14"/>
        <rFont val="Gill Sans MT"/>
        <family val="2"/>
      </rPr>
      <t>1000</t>
    </r>
  </si>
  <si>
    <r>
      <t>Q</t>
    </r>
    <r>
      <rPr>
        <b/>
        <vertAlign val="subscript"/>
        <sz val="14"/>
        <rFont val="Gill Sans MT"/>
        <family val="2"/>
      </rPr>
      <t>2.33</t>
    </r>
  </si>
  <si>
    <t>Logarithmic plot</t>
  </si>
  <si>
    <t>7) Kali Gandaki Kotagaon (420)</t>
  </si>
  <si>
    <t>6) Kali Gandaki at Kumal Gaon(Ansing 419.1)</t>
  </si>
  <si>
    <t>5) Kali Gandaki at Seti Beni (410)</t>
  </si>
  <si>
    <t>Below 5000 masl</t>
  </si>
  <si>
    <t>Catchment area Km2</t>
  </si>
  <si>
    <r>
      <t>Catchment area Km</t>
    </r>
    <r>
      <rPr>
        <b/>
        <vertAlign val="superscript"/>
        <sz val="11"/>
        <rFont val="Gill Sans MT"/>
        <family val="2"/>
      </rPr>
      <t>2</t>
    </r>
  </si>
  <si>
    <t>Median Flood Ratio (MFR)</t>
  </si>
  <si>
    <t>Equation given by the plot of  Mean Annual Flood versus Catchment Area</t>
  </si>
  <si>
    <t>Kaligandaki Tinau Multi-purpose Diversion Project (KTDMP)</t>
  </si>
  <si>
    <t>Calculated by: R.K. Mishra</t>
  </si>
  <si>
    <t>Checked by: S.P. Bhusal</t>
  </si>
  <si>
    <t>S.No.</t>
  </si>
  <si>
    <t>Flood discharge from RFFA, m3/s</t>
  </si>
  <si>
    <t>Result Regional Regression Flood Frequency Analysis</t>
  </si>
  <si>
    <t>Return Period, T</t>
  </si>
  <si>
    <t>a</t>
  </si>
  <si>
    <t>b</t>
  </si>
  <si>
    <t>c</t>
  </si>
  <si>
    <r>
      <rPr>
        <sz val="11"/>
        <color rgb="FFFF0000"/>
        <rFont val="Gill Sans MT"/>
        <family val="2"/>
      </rPr>
      <t>a</t>
    </r>
    <r>
      <rPr>
        <sz val="11"/>
        <color theme="1"/>
        <rFont val="Gill Sans MT"/>
        <family val="2"/>
      </rPr>
      <t>x</t>
    </r>
    <r>
      <rPr>
        <vertAlign val="superscript"/>
        <sz val="11"/>
        <color theme="1"/>
        <rFont val="Gill Sans MT"/>
        <family val="2"/>
      </rPr>
      <t>2</t>
    </r>
    <r>
      <rPr>
        <sz val="11"/>
        <color theme="1"/>
        <rFont val="Gill Sans MT"/>
        <family val="2"/>
      </rPr>
      <t>+</t>
    </r>
    <r>
      <rPr>
        <sz val="11"/>
        <color rgb="FFFF0000"/>
        <rFont val="Gill Sans MT"/>
        <family val="2"/>
      </rPr>
      <t>b</t>
    </r>
    <r>
      <rPr>
        <sz val="11"/>
        <color theme="1"/>
        <rFont val="Gill Sans MT"/>
        <family val="2"/>
      </rPr>
      <t>x+</t>
    </r>
    <r>
      <rPr>
        <sz val="11"/>
        <color rgb="FFFF0000"/>
        <rFont val="Gill Sans MT"/>
        <family val="2"/>
      </rPr>
      <t>c</t>
    </r>
  </si>
  <si>
    <r>
      <t>R</t>
    </r>
    <r>
      <rPr>
        <vertAlign val="superscript"/>
        <sz val="11"/>
        <rFont val="Gill Sans MT"/>
        <family val="2"/>
      </rPr>
      <t>2</t>
    </r>
  </si>
  <si>
    <t>Coefficients</t>
  </si>
  <si>
    <t>Stats</t>
  </si>
  <si>
    <r>
      <t>Flood, 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>/s</t>
    </r>
  </si>
  <si>
    <t xml:space="preserve"> T year flood magnitude of the stations considered in RRFA</t>
  </si>
  <si>
    <t>Flood  Ananlysis by Regional Regression Flood Analysis Method (RRFA)</t>
  </si>
  <si>
    <t>A.Flood magnitudes of T return period of the stations considered in RRFA</t>
  </si>
  <si>
    <t xml:space="preserve"> C. Regional  Regression Flood Frequency Analysis</t>
  </si>
  <si>
    <t>Regional Flood Frequency Analysis  (m3/s)</t>
  </si>
  <si>
    <t>Calculated By:  R.K. Mishra</t>
  </si>
  <si>
    <t xml:space="preserve">Date: </t>
  </si>
  <si>
    <t>Flood Estimation</t>
  </si>
  <si>
    <t xml:space="preserve">Subject: </t>
  </si>
  <si>
    <t>Kaligandaki Tinau Diversion Multipurpose Project</t>
  </si>
  <si>
    <t xml:space="preserve">Project: </t>
  </si>
  <si>
    <t>Kaligandaki Tinau Diversion Multipurpose Project (KTDMP)</t>
  </si>
  <si>
    <t>Probable Maximum Flood (PMF)</t>
  </si>
  <si>
    <t>Project and Location</t>
  </si>
  <si>
    <r>
      <t>Catchment Area (C.A.),km</t>
    </r>
    <r>
      <rPr>
        <vertAlign val="superscript"/>
        <sz val="11"/>
        <rFont val="Gill Sans MT"/>
        <family val="2"/>
      </rPr>
      <t>2</t>
    </r>
  </si>
  <si>
    <r>
      <t>PMF, m</t>
    </r>
    <r>
      <rPr>
        <vertAlign val="superscript"/>
        <sz val="11"/>
        <rFont val="Gill Sans MT"/>
        <family val="2"/>
      </rPr>
      <t>3</t>
    </r>
    <r>
      <rPr>
        <sz val="11"/>
        <rFont val="Gill Sans MT"/>
        <family val="2"/>
      </rPr>
      <t>/s</t>
    </r>
  </si>
  <si>
    <t>PMF/C.A.</t>
  </si>
  <si>
    <t>References</t>
  </si>
  <si>
    <t>Dhaulkiganga Dam,Sarda, UP, India</t>
  </si>
  <si>
    <t>Workshop on Flood estiamtion  Himalayan Region, 1982 &amp; 1986</t>
  </si>
  <si>
    <t>Lakhwar Dam, Yamuna, UP, India</t>
  </si>
  <si>
    <t>Workshop on Flood estiamtion  Himalayan Region, 1982 &amp; 1987</t>
  </si>
  <si>
    <t>Jamrani Dam, Yamuna, UP, India</t>
  </si>
  <si>
    <t>Workshop on Flood estiamtion  Himalayan Region, 1982 &amp; 1988</t>
  </si>
  <si>
    <t>Pong Dam, Beas, H.P., India</t>
  </si>
  <si>
    <t>Workshop on Flood estiamtion  Himalayan Region, 1982 &amp; 1989</t>
  </si>
  <si>
    <t>Teesta Dam, Teesta, WB, India</t>
  </si>
  <si>
    <t>Workshop on Flood estiamtion  Himalayan Region, 1982 &amp; 1990</t>
  </si>
  <si>
    <t>Koshi High Dam, Kosi, East Nepal</t>
  </si>
  <si>
    <t xml:space="preserve">Koshi High Dam Project, Indian Water Commission </t>
  </si>
  <si>
    <t>Upper Arun Dam, Arun, East Nepal</t>
  </si>
  <si>
    <t>Upper Arun Hydro Project Feasibility Study, 1991</t>
  </si>
  <si>
    <t>Upper Arun PH, Arun, East Nepal</t>
  </si>
  <si>
    <t>Arun-3 Dam, Arun, East Nepal</t>
  </si>
  <si>
    <t>Arun 3 Hydroelectric Project, Detailed Design Study, 1990</t>
  </si>
  <si>
    <t>Arun-3 PH, Arun, East Nepal</t>
  </si>
  <si>
    <t>Kulekhani I Dam, Bagmati, Central Nepal</t>
  </si>
  <si>
    <t>Kulekhani Hydroelectric Project</t>
  </si>
  <si>
    <t xml:space="preserve">Marsyangdi Dam, Central Nepal </t>
  </si>
  <si>
    <t>Marsyangdi Hydroelectric Project</t>
  </si>
  <si>
    <t>Sapta Gandaki, Central Nepal</t>
  </si>
  <si>
    <t>Sapta Gandaki Hydroelectric Project, Feasibility Study, 1985</t>
  </si>
  <si>
    <t>Karnali Dam, Karnali, Western Nepal</t>
  </si>
  <si>
    <t>Karnali Multipurpose Project, Feasibility Study</t>
  </si>
  <si>
    <t>West Seti Dam, Seti, Western Nepal</t>
  </si>
  <si>
    <t>West Seti Hydroelectric Project, Detailed Feasibility, 1990</t>
  </si>
  <si>
    <t>Matatila, Western U.P.</t>
  </si>
  <si>
    <t>Workshop on Dam Safety Assurance and Rehabiliotation, 1992,  CWC</t>
  </si>
  <si>
    <t>Dukhwan, Western U.P.</t>
  </si>
  <si>
    <t>Hindon, Western U.P</t>
  </si>
  <si>
    <t>Krishni, Western U.P.</t>
  </si>
  <si>
    <t>Y= 131.25*(X)-0.447</t>
  </si>
  <si>
    <t>Kali Gandaki-'A' HEP</t>
  </si>
  <si>
    <t>C.A. intake below 3600 masl</t>
  </si>
  <si>
    <t>C.A. PH below 3600 masl</t>
  </si>
  <si>
    <t>PMF/ C.A. for intake</t>
  </si>
  <si>
    <t>PMF/ C.A. for PH</t>
  </si>
  <si>
    <t>PMF</t>
  </si>
  <si>
    <t>Calculated</t>
  </si>
  <si>
    <t>PMF dam site</t>
  </si>
  <si>
    <r>
      <t>m</t>
    </r>
    <r>
      <rPr>
        <vertAlign val="superscript"/>
        <sz val="11"/>
        <rFont val="Gill Sans MT"/>
        <family val="2"/>
      </rPr>
      <t>3</t>
    </r>
    <r>
      <rPr>
        <sz val="11"/>
        <rFont val="Gill Sans MT"/>
        <family val="2"/>
      </rPr>
      <t>/s</t>
    </r>
  </si>
  <si>
    <t>PMF PH site</t>
  </si>
  <si>
    <t>Adopted in KG-'A' HEP</t>
  </si>
  <si>
    <t>Kaligandaki Tinau Multi-Purpose Diversion Project (KGTDMP)</t>
  </si>
  <si>
    <t>Catchment Area at intake below 3600 masl</t>
  </si>
  <si>
    <t>Project: Kaligandaki Tinau Diversion Multipurpose Project</t>
  </si>
  <si>
    <t>Subject: Flood Estimation</t>
  </si>
  <si>
    <t>Log normal (m3/s)</t>
  </si>
  <si>
    <t>Log Pearson III (m3/s)</t>
  </si>
  <si>
    <t>Gumbel (m3/s)</t>
  </si>
  <si>
    <t>Transpose factor</t>
  </si>
  <si>
    <t>1) Flood flow analysis (CAR Method)</t>
  </si>
  <si>
    <r>
      <t>Total Area, km</t>
    </r>
    <r>
      <rPr>
        <b/>
        <vertAlign val="superscript"/>
        <sz val="11"/>
        <rFont val="Gill Sans MT"/>
        <family val="2"/>
      </rPr>
      <t>2</t>
    </r>
  </si>
  <si>
    <t>Station Name</t>
  </si>
  <si>
    <t>Project: Kaligandaki Tinau Diversion Multipurpose Project (KTDMP)</t>
  </si>
  <si>
    <r>
      <rPr>
        <sz val="11"/>
        <color rgb="FFFF0000"/>
        <rFont val="Gill Sans MT"/>
        <family val="2"/>
      </rPr>
      <t>a</t>
    </r>
    <r>
      <rPr>
        <sz val="11"/>
        <rFont val="Gill Sans MT"/>
        <family val="2"/>
      </rPr>
      <t xml:space="preserve"> * A</t>
    </r>
    <r>
      <rPr>
        <vertAlign val="superscript"/>
        <sz val="11"/>
        <rFont val="Gill Sans MT"/>
        <family val="2"/>
      </rPr>
      <t>2</t>
    </r>
    <r>
      <rPr>
        <sz val="11"/>
        <rFont val="Gill Sans MT"/>
        <family val="2"/>
      </rPr>
      <t xml:space="preserve">+ </t>
    </r>
    <r>
      <rPr>
        <sz val="11"/>
        <color rgb="FFFF0000"/>
        <rFont val="Gill Sans MT"/>
        <family val="2"/>
      </rPr>
      <t>b</t>
    </r>
    <r>
      <rPr>
        <sz val="11"/>
        <rFont val="Gill Sans MT"/>
        <family val="2"/>
      </rPr>
      <t xml:space="preserve">* A + </t>
    </r>
    <r>
      <rPr>
        <sz val="11"/>
        <color rgb="FFFF0000"/>
        <rFont val="Gill Sans MT"/>
        <family val="2"/>
      </rPr>
      <t>c</t>
    </r>
  </si>
  <si>
    <r>
      <t>Regional Regression analysis method (m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>/s)</t>
    </r>
  </si>
  <si>
    <t>Probability of Exceedance, %</t>
  </si>
  <si>
    <r>
      <t>Q</t>
    </r>
    <r>
      <rPr>
        <b/>
        <vertAlign val="subscript"/>
        <sz val="11"/>
        <rFont val="Gill Sans MT"/>
        <family val="2"/>
      </rPr>
      <t>5</t>
    </r>
    <r>
      <rPr>
        <b/>
        <vertAlign val="subscript"/>
        <sz val="14"/>
        <rFont val="Gill Sans MT"/>
        <family val="2"/>
      </rPr>
      <t>000</t>
    </r>
  </si>
  <si>
    <r>
      <t>Q</t>
    </r>
    <r>
      <rPr>
        <b/>
        <vertAlign val="subscript"/>
        <sz val="14"/>
        <rFont val="Gill Sans MT"/>
        <family val="2"/>
      </rPr>
      <t>10000</t>
    </r>
  </si>
  <si>
    <t>Q5000</t>
  </si>
  <si>
    <t>Q10000</t>
  </si>
  <si>
    <r>
      <t>Q</t>
    </r>
    <r>
      <rPr>
        <b/>
        <vertAlign val="subscript"/>
        <sz val="14"/>
        <rFont val="Gill Sans MT"/>
        <family val="2"/>
      </rPr>
      <t>5000</t>
    </r>
  </si>
  <si>
    <t>`</t>
  </si>
  <si>
    <t>MKHEP at Intake</t>
  </si>
  <si>
    <t>Middle Kaligandaki Hydroelectric Project (MKHEP)</t>
  </si>
  <si>
    <t>Calculated by: S. Shrestha</t>
  </si>
  <si>
    <t>8) Kali Gandaki Tatopani (403.5)</t>
  </si>
  <si>
    <t>Flood flow at MKHEP Intake site from Setibeni</t>
  </si>
  <si>
    <t>Setibeni</t>
  </si>
  <si>
    <t>HYDEST</t>
  </si>
  <si>
    <t>Modified Hydest</t>
  </si>
  <si>
    <t xml:space="preserve">Area  below 4500 m </t>
  </si>
  <si>
    <t>Due Deligence Study of Isuwa Khola Cascade</t>
  </si>
  <si>
    <t>Sabhaya</t>
  </si>
  <si>
    <t>Tumlingtar</t>
  </si>
  <si>
    <t xml:space="preserve">Station No. </t>
  </si>
  <si>
    <t>Station: Sabhaya (602)</t>
  </si>
  <si>
    <t>Station: Hinwa (602.5)</t>
  </si>
  <si>
    <t>Hinwa (602.5)</t>
  </si>
  <si>
    <t>Station:  Arun River at Turkeghat (604.5)</t>
  </si>
  <si>
    <t>Arun River</t>
  </si>
  <si>
    <t>Turkeghat</t>
  </si>
  <si>
    <t>Arun khola at turkeghat (604.5)</t>
  </si>
  <si>
    <t>Hinwa</t>
  </si>
  <si>
    <t>Arun</t>
  </si>
  <si>
    <t>Station: Arun River at Uwa Gaon (600.1)</t>
  </si>
  <si>
    <t>Isuwa at Intake</t>
  </si>
  <si>
    <t>Uwa Gaon</t>
  </si>
  <si>
    <t>Powerhouse river-1</t>
  </si>
  <si>
    <t>1) Sabhaya at Tumlingtar (602)</t>
  </si>
  <si>
    <t>2) Hinwa (602.5)</t>
  </si>
  <si>
    <t>3) Arun River at Turkeghat (604.5)</t>
  </si>
  <si>
    <t>4)Arun River at Uwa gaon (600.1)</t>
  </si>
  <si>
    <t>Flood  freequency analysis result of 4 gauging stations</t>
  </si>
  <si>
    <t>Catchment area below 5000 masl at Ph site of isuwa</t>
  </si>
  <si>
    <t>Isuwa at Powerhouse</t>
  </si>
  <si>
    <t xml:space="preserve">Flood  freequency analysis result of 4 gauging stations </t>
  </si>
  <si>
    <t xml:space="preserve">B. Catchment details of the stations considered in flood analysis </t>
  </si>
  <si>
    <t>Uwa gaon (600.1)</t>
  </si>
  <si>
    <t>Estimated flood at powerhouse site</t>
  </si>
  <si>
    <r>
      <t>0.0000552744* A</t>
    </r>
    <r>
      <rPr>
        <vertAlign val="superscript"/>
        <sz val="11"/>
        <rFont val="Gill Sans MT"/>
        <family val="2"/>
      </rPr>
      <t>2</t>
    </r>
    <r>
      <rPr>
        <sz val="11"/>
        <rFont val="Gill Sans MT"/>
        <family val="2"/>
      </rPr>
      <t xml:space="preserve"> - 0.8422* A + 356.979</t>
    </r>
  </si>
  <si>
    <t>Powerhouse river-2</t>
  </si>
  <si>
    <t>Catchment area below 5000 masl at Isuwa powerhouse-2</t>
  </si>
  <si>
    <r>
      <t>CAR with Hinwa             (m</t>
    </r>
    <r>
      <rPr>
        <b/>
        <vertAlign val="superscript"/>
        <sz val="11"/>
        <rFont val="Gill Sans MT"/>
        <family val="2"/>
      </rPr>
      <t>3</t>
    </r>
    <r>
      <rPr>
        <b/>
        <sz val="11"/>
        <rFont val="Gill Sans MT"/>
        <family val="2"/>
      </rPr>
      <t xml:space="preserve">/s) </t>
    </r>
  </si>
  <si>
    <t>Flood flow at Isuwa powerhouse site-2 from Hinwa</t>
  </si>
  <si>
    <t>S.Shrestha</t>
  </si>
  <si>
    <t>Station: Melamchi at Helambu (627.5)</t>
  </si>
  <si>
    <t xml:space="preserve">Melamchi  </t>
  </si>
  <si>
    <t>Station No.</t>
  </si>
  <si>
    <t>Total Catchment Area:</t>
  </si>
  <si>
    <t>Km2</t>
  </si>
  <si>
    <t>Area below 5000 m:</t>
  </si>
  <si>
    <t xml:space="preserve">                                         EXTREME DISCHARGES</t>
  </si>
  <si>
    <t xml:space="preserve">                                         </t>
  </si>
  <si>
    <t>ear</t>
  </si>
  <si>
    <t>Discharge</t>
  </si>
  <si>
    <t>Gauge height</t>
  </si>
  <si>
    <t>(m3/s)</t>
  </si>
  <si>
    <t>(m)</t>
  </si>
  <si>
    <t>23/07/1990</t>
  </si>
  <si>
    <t>MINI</t>
  </si>
  <si>
    <t>MUM INSTANTAN</t>
  </si>
  <si>
    <t>EOUS</t>
  </si>
  <si>
    <t>16/02/1991</t>
  </si>
  <si>
    <t>15/08/1992</t>
  </si>
  <si>
    <t>17/03/1993</t>
  </si>
  <si>
    <t>26/04/1994</t>
  </si>
  <si>
    <t>18/03/2008</t>
  </si>
  <si>
    <t>18/03/1995</t>
  </si>
  <si>
    <t>18/03/2009</t>
  </si>
  <si>
    <t>13/08/1996</t>
  </si>
  <si>
    <t>31/12/1996</t>
  </si>
  <si>
    <t>21/04/2010</t>
  </si>
  <si>
    <t>20/01/1997</t>
  </si>
  <si>
    <t>28/03/2011</t>
  </si>
  <si>
    <t>15/02/1998</t>
  </si>
  <si>
    <t>20/02/1999</t>
  </si>
  <si>
    <t>31/01/2013</t>
  </si>
  <si>
    <t>23/03/2000</t>
  </si>
  <si>
    <t>28/03/2014</t>
  </si>
  <si>
    <t>21/08/2001</t>
  </si>
  <si>
    <t>21/07/2002</t>
  </si>
  <si>
    <t>31/07/2003</t>
  </si>
  <si>
    <t>16/02/2003</t>
  </si>
  <si>
    <t>18/06/2004</t>
  </si>
  <si>
    <t>26/07/2005</t>
  </si>
  <si>
    <t>17/03/2005</t>
  </si>
  <si>
    <t>16/07/2006</t>
  </si>
  <si>
    <t>31/12/2006</t>
  </si>
  <si>
    <r>
      <t>y</t>
    </r>
    <r>
      <rPr>
        <vertAlign val="subscript"/>
        <sz val="10"/>
        <rFont val="Arial"/>
        <family val="2"/>
      </rPr>
      <t>mean</t>
    </r>
  </si>
  <si>
    <r>
      <t>C</t>
    </r>
    <r>
      <rPr>
        <vertAlign val="subscript"/>
        <sz val="10"/>
        <rFont val="Arial"/>
        <family val="2"/>
      </rPr>
      <t>s</t>
    </r>
  </si>
  <si>
    <r>
      <t>X</t>
    </r>
    <r>
      <rPr>
        <vertAlign val="subscript"/>
        <sz val="10"/>
        <rFont val="Arial"/>
        <family val="2"/>
      </rPr>
      <t>T</t>
    </r>
  </si>
  <si>
    <r>
      <t>K</t>
    </r>
    <r>
      <rPr>
        <vertAlign val="subscript"/>
        <sz val="10"/>
        <rFont val="Arial"/>
        <family val="2"/>
      </rPr>
      <t>T</t>
    </r>
  </si>
  <si>
    <t>Melamchi</t>
  </si>
  <si>
    <t>5) Melamchi at Helambu (627.5)</t>
  </si>
  <si>
    <t>Melamchi Khola</t>
  </si>
  <si>
    <t>factor</t>
  </si>
  <si>
    <t>Kholsi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</si>
</sst>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"/>
    <numFmt numFmtId="165" formatCode="0.0000"/>
    <numFmt numFmtId="166" formatCode="0.000"/>
    <numFmt numFmtId="167" formatCode="0.00000000000"/>
    <numFmt numFmtId="168" formatCode="0.000000"/>
    <numFmt numFmtId="169" formatCode="0.0000000"/>
    <numFmt numFmtId="170" formatCode="0.0%"/>
    <numFmt numFmtId="171" formatCode="0.00000"/>
    <numFmt numFmtId="172" formatCode="0.00000000"/>
    <numFmt numFmtId="173" formatCode="_(* #,##0_);_(* \(#,##0\);_(* &quot;-&quot;??_);_(@_)"/>
    <numFmt numFmtId="174" formatCode="0.0000000000"/>
  </numFmts>
  <fonts count="64" x14ac:knownFonts="1">
    <font>
      <sz val="10"/>
      <name val="Arial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8"/>
      <name val="Gill Sans MT"/>
      <family val="2"/>
    </font>
    <font>
      <vertAlign val="subscript"/>
      <sz val="10"/>
      <name val="Gill Sans MT"/>
      <family val="2"/>
    </font>
    <font>
      <b/>
      <i/>
      <sz val="10"/>
      <name val="Gill Sans MT"/>
      <family val="2"/>
    </font>
    <font>
      <vertAlign val="subscript"/>
      <sz val="8"/>
      <name val="Gill Sans MT"/>
      <family val="2"/>
    </font>
    <font>
      <b/>
      <sz val="11"/>
      <name val="Gill Sans MT"/>
      <family val="2"/>
    </font>
    <font>
      <b/>
      <vertAlign val="subscript"/>
      <sz val="10"/>
      <name val="Gill Sans M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ill Sans MT"/>
      <family val="2"/>
    </font>
    <font>
      <sz val="10"/>
      <color theme="1"/>
      <name val="Gill Sans MT"/>
      <family val="2"/>
    </font>
    <font>
      <b/>
      <sz val="11"/>
      <color theme="1"/>
      <name val="Gill Sans MT"/>
      <family val="2"/>
    </font>
    <font>
      <sz val="11"/>
      <name val="Gill Sans MT"/>
      <family val="2"/>
    </font>
    <font>
      <vertAlign val="superscript"/>
      <sz val="11"/>
      <name val="Gill Sans MT"/>
      <family val="2"/>
    </font>
    <font>
      <b/>
      <sz val="11"/>
      <color rgb="FFFF0000"/>
      <name val="Gill Sans MT"/>
      <family val="2"/>
    </font>
    <font>
      <b/>
      <sz val="11"/>
      <color rgb="FF7030A0"/>
      <name val="Gill Sans MT"/>
      <family val="2"/>
    </font>
    <font>
      <b/>
      <u/>
      <sz val="11"/>
      <name val="Gill Sans MT"/>
      <family val="2"/>
    </font>
    <font>
      <vertAlign val="subscript"/>
      <sz val="11"/>
      <name val="Gill Sans MT"/>
      <family val="2"/>
    </font>
    <font>
      <b/>
      <vertAlign val="subscript"/>
      <sz val="11"/>
      <name val="Gill Sans MT"/>
      <family val="2"/>
    </font>
    <font>
      <b/>
      <vertAlign val="subscript"/>
      <sz val="14"/>
      <name val="Gill Sans MT"/>
      <family val="2"/>
    </font>
    <font>
      <b/>
      <sz val="11"/>
      <color rgb="FF00B050"/>
      <name val="Gill Sans MT"/>
      <family val="2"/>
    </font>
    <font>
      <b/>
      <vertAlign val="superscript"/>
      <sz val="11"/>
      <name val="Gill Sans MT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666600"/>
      <name val="Courier New"/>
      <family val="3"/>
    </font>
    <font>
      <sz val="14"/>
      <color rgb="FF666600"/>
      <name val="Courier New"/>
      <family val="3"/>
    </font>
    <font>
      <sz val="11"/>
      <color rgb="FFFF0000"/>
      <name val="Gill Sans MT"/>
      <family val="2"/>
    </font>
    <font>
      <vertAlign val="superscript"/>
      <sz val="11"/>
      <color theme="1"/>
      <name val="Gill Sans MT"/>
      <family val="2"/>
    </font>
    <font>
      <sz val="10"/>
      <name val="Arial"/>
      <family val="2"/>
    </font>
    <font>
      <u/>
      <sz val="11"/>
      <name val="Gill Sans MT"/>
      <family val="2"/>
    </font>
    <font>
      <sz val="11"/>
      <color theme="0" tint="-0.34998626667073579"/>
      <name val="Gill Sans MT"/>
      <family val="2"/>
    </font>
    <font>
      <sz val="11"/>
      <color theme="0" tint="-0.499984740745262"/>
      <name val="Gill Sans MT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b/>
      <i/>
      <sz val="10"/>
      <name val="Arial"/>
      <family val="2"/>
    </font>
    <font>
      <sz val="8"/>
      <name val="Symbol"/>
      <family val="1"/>
      <charset val="2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1" fillId="27" borderId="12" applyNumberFormat="0" applyAlignment="0" applyProtection="0"/>
    <xf numFmtId="0" fontId="22" fillId="28" borderId="13" applyNumberFormat="0" applyAlignment="0" applyProtection="0"/>
    <xf numFmtId="0" fontId="23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30" borderId="12" applyNumberFormat="0" applyAlignment="0" applyProtection="0"/>
    <xf numFmtId="0" fontId="29" fillId="0" borderId="17" applyNumberFormat="0" applyFill="0" applyAlignment="0" applyProtection="0"/>
    <xf numFmtId="0" fontId="30" fillId="31" borderId="0" applyNumberFormat="0" applyBorder="0" applyAlignment="0" applyProtection="0"/>
    <xf numFmtId="0" fontId="7" fillId="0" borderId="0"/>
    <xf numFmtId="0" fontId="18" fillId="0" borderId="0"/>
    <xf numFmtId="0" fontId="18" fillId="32" borderId="18" applyNumberFormat="0" applyFont="0" applyAlignment="0" applyProtection="0"/>
    <xf numFmtId="0" fontId="31" fillId="27" borderId="19" applyNumberFormat="0" applyAlignment="0" applyProtection="0"/>
    <xf numFmtId="9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0" applyNumberFormat="0" applyFill="0" applyBorder="0" applyAlignment="0" applyProtection="0"/>
    <xf numFmtId="43" fontId="5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465">
    <xf numFmtId="0" fontId="0" fillId="0" borderId="0" xfId="0"/>
    <xf numFmtId="0" fontId="6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7" fillId="0" borderId="1" xfId="0" applyFont="1" applyFill="1" applyBorder="1"/>
    <xf numFmtId="1" fontId="7" fillId="0" borderId="1" xfId="0" applyNumberFormat="1" applyFont="1" applyFill="1" applyBorder="1" applyAlignment="1">
      <alignment horizontal="center"/>
    </xf>
    <xf numFmtId="0" fontId="8" fillId="0" borderId="0" xfId="37" applyFont="1"/>
    <xf numFmtId="0" fontId="6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5" fillId="0" borderId="0" xfId="0" applyFont="1"/>
    <xf numFmtId="0" fontId="5" fillId="0" borderId="0" xfId="0" applyFont="1" applyFill="1"/>
    <xf numFmtId="169" fontId="0" fillId="0" borderId="0" xfId="0" applyNumberFormat="1" applyFill="1"/>
    <xf numFmtId="0" fontId="5" fillId="0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5" fillId="0" borderId="0" xfId="0" applyFont="1"/>
    <xf numFmtId="0" fontId="35" fillId="33" borderId="0" xfId="0" applyFont="1" applyFill="1"/>
    <xf numFmtId="15" fontId="10" fillId="0" borderId="0" xfId="37" applyNumberFormat="1" applyFont="1"/>
    <xf numFmtId="0" fontId="36" fillId="0" borderId="0" xfId="0" applyFont="1"/>
    <xf numFmtId="0" fontId="36" fillId="0" borderId="0" xfId="0" applyFont="1" applyAlignment="1">
      <alignment horizontal="left"/>
    </xf>
    <xf numFmtId="0" fontId="11" fillId="0" borderId="0" xfId="37" applyFont="1"/>
    <xf numFmtId="0" fontId="12" fillId="0" borderId="0" xfId="37" applyFont="1"/>
    <xf numFmtId="0" fontId="9" fillId="0" borderId="0" xfId="37" applyFont="1"/>
    <xf numFmtId="15" fontId="11" fillId="0" borderId="0" xfId="37" applyNumberFormat="1" applyFont="1"/>
    <xf numFmtId="15" fontId="11" fillId="33" borderId="0" xfId="37" applyNumberFormat="1" applyFont="1" applyFill="1"/>
    <xf numFmtId="0" fontId="10" fillId="0" borderId="1" xfId="37" applyFont="1" applyBorder="1"/>
    <xf numFmtId="0" fontId="10" fillId="0" borderId="1" xfId="37" applyFont="1" applyBorder="1" applyAlignment="1">
      <alignment horizontal="center"/>
    </xf>
    <xf numFmtId="167" fontId="11" fillId="0" borderId="0" xfId="37" applyNumberFormat="1" applyFont="1"/>
    <xf numFmtId="0" fontId="11" fillId="0" borderId="1" xfId="37" applyFont="1" applyBorder="1"/>
    <xf numFmtId="166" fontId="11" fillId="0" borderId="1" xfId="37" applyNumberFormat="1" applyFont="1" applyBorder="1"/>
    <xf numFmtId="166" fontId="11" fillId="0" borderId="0" xfId="37" applyNumberFormat="1" applyFont="1"/>
    <xf numFmtId="2" fontId="11" fillId="0" borderId="0" xfId="37" applyNumberFormat="1" applyFont="1"/>
    <xf numFmtId="0" fontId="10" fillId="0" borderId="3" xfId="37" applyFont="1" applyFill="1" applyBorder="1" applyAlignment="1">
      <alignment horizontal="center"/>
    </xf>
    <xf numFmtId="0" fontId="11" fillId="0" borderId="1" xfId="37" applyFont="1" applyFill="1" applyBorder="1" applyAlignment="1">
      <alignment horizontal="center"/>
    </xf>
    <xf numFmtId="166" fontId="11" fillId="0" borderId="1" xfId="37" applyNumberFormat="1" applyFont="1" applyFill="1" applyBorder="1" applyAlignment="1">
      <alignment horizontal="center"/>
    </xf>
    <xf numFmtId="2" fontId="10" fillId="0" borderId="1" xfId="37" applyNumberFormat="1" applyFont="1" applyFill="1" applyBorder="1" applyAlignment="1">
      <alignment horizontal="center"/>
    </xf>
    <xf numFmtId="2" fontId="11" fillId="0" borderId="1" xfId="37" applyNumberFormat="1" applyFont="1" applyFill="1" applyBorder="1" applyAlignment="1">
      <alignment horizontal="center"/>
    </xf>
    <xf numFmtId="0" fontId="11" fillId="34" borderId="1" xfId="37" applyFont="1" applyFill="1" applyBorder="1" applyAlignment="1">
      <alignment horizontal="center"/>
    </xf>
    <xf numFmtId="166" fontId="11" fillId="34" borderId="1" xfId="37" applyNumberFormat="1" applyFont="1" applyFill="1" applyBorder="1" applyAlignment="1">
      <alignment horizontal="center"/>
    </xf>
    <xf numFmtId="2" fontId="10" fillId="34" borderId="1" xfId="37" applyNumberFormat="1" applyFont="1" applyFill="1" applyBorder="1" applyAlignment="1">
      <alignment horizontal="center"/>
    </xf>
    <xf numFmtId="2" fontId="11" fillId="34" borderId="1" xfId="37" applyNumberFormat="1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Fill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/>
    <xf numFmtId="0" fontId="11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Fill="1" applyBorder="1" applyAlignment="1">
      <alignment horizontal="center"/>
    </xf>
    <xf numFmtId="0" fontId="5" fillId="0" borderId="0" xfId="0" applyFont="1" applyFill="1" applyBorder="1"/>
    <xf numFmtId="0" fontId="10" fillId="0" borderId="0" xfId="37" applyFont="1" applyAlignment="1"/>
    <xf numFmtId="0" fontId="10" fillId="0" borderId="1" xfId="37" applyFont="1" applyFill="1" applyBorder="1" applyAlignment="1">
      <alignment horizontal="center" vertical="center"/>
    </xf>
    <xf numFmtId="164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165" fontId="0" fillId="0" borderId="0" xfId="0" applyNumberFormat="1" applyFill="1"/>
    <xf numFmtId="15" fontId="11" fillId="0" borderId="0" xfId="0" applyNumberFormat="1" applyFont="1" applyAlignment="1">
      <alignment horizontal="left"/>
    </xf>
    <xf numFmtId="0" fontId="36" fillId="33" borderId="0" xfId="0" applyFont="1" applyFill="1" applyAlignment="1">
      <alignment horizontal="left"/>
    </xf>
    <xf numFmtId="164" fontId="12" fillId="0" borderId="0" xfId="37" applyNumberFormat="1" applyFont="1" applyBorder="1"/>
    <xf numFmtId="0" fontId="12" fillId="0" borderId="0" xfId="37" applyFont="1" applyBorder="1"/>
    <xf numFmtId="166" fontId="12" fillId="0" borderId="0" xfId="37" applyNumberFormat="1" applyFont="1" applyBorder="1"/>
    <xf numFmtId="167" fontId="12" fillId="0" borderId="0" xfId="37" applyNumberFormat="1" applyFont="1"/>
    <xf numFmtId="0" fontId="12" fillId="0" borderId="0" xfId="37" applyFont="1" applyFill="1"/>
    <xf numFmtId="0" fontId="9" fillId="0" borderId="0" xfId="37" applyFont="1" applyBorder="1" applyAlignment="1">
      <alignment horizontal="center"/>
    </xf>
    <xf numFmtId="166" fontId="12" fillId="0" borderId="0" xfId="37" applyNumberFormat="1" applyFont="1"/>
    <xf numFmtId="16" fontId="12" fillId="0" borderId="0" xfId="37" applyNumberFormat="1" applyFont="1"/>
    <xf numFmtId="0" fontId="10" fillId="0" borderId="0" xfId="0" applyFont="1"/>
    <xf numFmtId="0" fontId="11" fillId="0" borderId="0" xfId="0" applyFont="1" applyAlignment="1">
      <alignment horizontal="left"/>
    </xf>
    <xf numFmtId="1" fontId="11" fillId="0" borderId="0" xfId="0" applyNumberFormat="1" applyFont="1"/>
    <xf numFmtId="0" fontId="11" fillId="0" borderId="1" xfId="0" applyFont="1" applyFill="1" applyBorder="1" applyAlignment="1">
      <alignment horizontal="center" vertical="center"/>
    </xf>
    <xf numFmtId="1" fontId="11" fillId="0" borderId="1" xfId="37" applyNumberFormat="1" applyFont="1" applyBorder="1" applyAlignment="1">
      <alignment horizontal="center"/>
    </xf>
    <xf numFmtId="164" fontId="11" fillId="33" borderId="1" xfId="37" applyNumberFormat="1" applyFont="1" applyFill="1" applyBorder="1" applyAlignment="1">
      <alignment horizontal="center"/>
    </xf>
    <xf numFmtId="164" fontId="11" fillId="0" borderId="6" xfId="37" applyNumberFormat="1" applyFont="1" applyBorder="1" applyAlignment="1">
      <alignment horizontal="center"/>
    </xf>
    <xf numFmtId="0" fontId="10" fillId="0" borderId="0" xfId="37" applyFont="1" applyFill="1" applyBorder="1" applyAlignment="1">
      <alignment horizontal="center"/>
    </xf>
    <xf numFmtId="0" fontId="11" fillId="0" borderId="0" xfId="37" applyFont="1" applyFill="1" applyBorder="1" applyAlignment="1">
      <alignment horizontal="center"/>
    </xf>
    <xf numFmtId="2" fontId="14" fillId="0" borderId="0" xfId="37" applyNumberFormat="1" applyFont="1" applyFill="1" applyBorder="1" applyAlignment="1">
      <alignment horizontal="center"/>
    </xf>
    <xf numFmtId="1" fontId="11" fillId="0" borderId="1" xfId="0" applyNumberFormat="1" applyFont="1" applyBorder="1"/>
    <xf numFmtId="0" fontId="16" fillId="0" borderId="0" xfId="0" applyFont="1"/>
    <xf numFmtId="0" fontId="11" fillId="0" borderId="1" xfId="0" applyFont="1" applyBorder="1" applyAlignment="1">
      <alignment horizontal="center" vertical="center"/>
    </xf>
    <xf numFmtId="0" fontId="11" fillId="35" borderId="1" xfId="0" applyFont="1" applyFill="1" applyBorder="1"/>
    <xf numFmtId="1" fontId="11" fillId="35" borderId="1" xfId="0" applyNumberFormat="1" applyFont="1" applyFill="1" applyBorder="1"/>
    <xf numFmtId="0" fontId="10" fillId="0" borderId="1" xfId="0" applyFont="1" applyBorder="1" applyAlignment="1">
      <alignment horizontal="center" vertical="top"/>
    </xf>
    <xf numFmtId="0" fontId="10" fillId="0" borderId="0" xfId="37" applyFont="1" applyBorder="1" applyAlignment="1">
      <alignment horizontal="center"/>
    </xf>
    <xf numFmtId="0" fontId="11" fillId="0" borderId="0" xfId="37" applyFont="1" applyAlignment="1">
      <alignment horizontal="right"/>
    </xf>
    <xf numFmtId="164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1" fontId="11" fillId="0" borderId="7" xfId="37" applyNumberFormat="1" applyFont="1" applyBorder="1" applyAlignment="1">
      <alignment horizontal="center"/>
    </xf>
    <xf numFmtId="164" fontId="11" fillId="36" borderId="1" xfId="37" applyNumberFormat="1" applyFont="1" applyFill="1" applyBorder="1" applyAlignment="1">
      <alignment horizontal="center"/>
    </xf>
    <xf numFmtId="0" fontId="11" fillId="0" borderId="1" xfId="37" applyFont="1" applyBorder="1" applyAlignment="1">
      <alignment horizont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14" fontId="35" fillId="0" borderId="0" xfId="0" applyNumberFormat="1" applyFont="1"/>
    <xf numFmtId="0" fontId="11" fillId="0" borderId="0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top"/>
    </xf>
    <xf numFmtId="0" fontId="38" fillId="0" borderId="0" xfId="0" applyFont="1"/>
    <xf numFmtId="164" fontId="38" fillId="0" borderId="0" xfId="0" applyNumberFormat="1" applyFont="1"/>
    <xf numFmtId="0" fontId="38" fillId="0" borderId="0" xfId="37" applyFont="1"/>
    <xf numFmtId="0" fontId="38" fillId="0" borderId="0" xfId="37" applyFont="1" applyFill="1"/>
    <xf numFmtId="15" fontId="38" fillId="0" borderId="0" xfId="0" applyNumberFormat="1" applyFont="1"/>
    <xf numFmtId="15" fontId="38" fillId="0" borderId="0" xfId="37" applyNumberFormat="1" applyFont="1"/>
    <xf numFmtId="1" fontId="38" fillId="0" borderId="0" xfId="0" applyNumberFormat="1" applyFont="1"/>
    <xf numFmtId="0" fontId="38" fillId="0" borderId="0" xfId="0" applyFont="1" applyFill="1"/>
    <xf numFmtId="0" fontId="16" fillId="0" borderId="0" xfId="0" applyFont="1" applyFill="1"/>
    <xf numFmtId="0" fontId="38" fillId="0" borderId="0" xfId="0" applyFont="1" applyFill="1" applyBorder="1" applyAlignment="1"/>
    <xf numFmtId="0" fontId="38" fillId="0" borderId="0" xfId="0" applyFont="1" applyFill="1" applyBorder="1" applyAlignment="1">
      <alignment horizontal="center"/>
    </xf>
    <xf numFmtId="0" fontId="38" fillId="0" borderId="1" xfId="0" applyFont="1" applyFill="1" applyBorder="1"/>
    <xf numFmtId="1" fontId="38" fillId="0" borderId="1" xfId="0" applyNumberFormat="1" applyFont="1" applyFill="1" applyBorder="1" applyAlignment="1">
      <alignment horizontal="center"/>
    </xf>
    <xf numFmtId="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/>
    <xf numFmtId="2" fontId="38" fillId="0" borderId="1" xfId="0" applyNumberFormat="1" applyFont="1" applyFill="1" applyBorder="1" applyAlignment="1">
      <alignment horizontal="center"/>
    </xf>
    <xf numFmtId="0" fontId="38" fillId="33" borderId="1" xfId="0" applyFont="1" applyFill="1" applyBorder="1"/>
    <xf numFmtId="0" fontId="38" fillId="33" borderId="1" xfId="0" applyFont="1" applyFill="1" applyBorder="1" applyAlignment="1">
      <alignment horizontal="center"/>
    </xf>
    <xf numFmtId="2" fontId="38" fillId="33" borderId="1" xfId="0" applyNumberFormat="1" applyFont="1" applyFill="1" applyBorder="1" applyAlignment="1">
      <alignment horizontal="center"/>
    </xf>
    <xf numFmtId="164" fontId="38" fillId="0" borderId="1" xfId="0" applyNumberFormat="1" applyFont="1" applyFill="1" applyBorder="1" applyAlignment="1">
      <alignment horizontal="center"/>
    </xf>
    <xf numFmtId="164" fontId="38" fillId="33" borderId="1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0" fontId="16" fillId="0" borderId="0" xfId="0" applyFont="1" applyFill="1" applyBorder="1"/>
    <xf numFmtId="0" fontId="38" fillId="0" borderId="0" xfId="0" applyFont="1" applyFill="1" applyBorder="1" applyAlignment="1">
      <alignment horizontal="left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/>
    </xf>
    <xf numFmtId="0" fontId="38" fillId="0" borderId="1" xfId="0" applyFont="1" applyBorder="1" applyAlignment="1">
      <alignment horizontal="center"/>
    </xf>
    <xf numFmtId="164" fontId="38" fillId="0" borderId="1" xfId="0" applyNumberFormat="1" applyFont="1" applyBorder="1" applyAlignment="1">
      <alignment horizontal="right"/>
    </xf>
    <xf numFmtId="0" fontId="38" fillId="0" borderId="1" xfId="0" applyFont="1" applyBorder="1"/>
    <xf numFmtId="168" fontId="38" fillId="0" borderId="0" xfId="0" applyNumberFormat="1" applyFont="1"/>
    <xf numFmtId="170" fontId="38" fillId="0" borderId="0" xfId="0" applyNumberFormat="1" applyFont="1"/>
    <xf numFmtId="0" fontId="38" fillId="0" borderId="0" xfId="0" applyFont="1" applyAlignment="1">
      <alignment horizontal="left"/>
    </xf>
    <xf numFmtId="0" fontId="38" fillId="0" borderId="3" xfId="0" applyFont="1" applyBorder="1" applyAlignment="1">
      <alignment horizontal="center"/>
    </xf>
    <xf numFmtId="1" fontId="38" fillId="0" borderId="3" xfId="0" applyNumberFormat="1" applyFont="1" applyFill="1" applyBorder="1" applyAlignment="1">
      <alignment horizontal="center"/>
    </xf>
    <xf numFmtId="1" fontId="38" fillId="0" borderId="3" xfId="0" applyNumberFormat="1" applyFont="1" applyFill="1" applyBorder="1"/>
    <xf numFmtId="164" fontId="38" fillId="0" borderId="1" xfId="0" applyNumberFormat="1" applyFont="1" applyBorder="1" applyAlignment="1">
      <alignment horizontal="center" vertical="center"/>
    </xf>
    <xf numFmtId="0" fontId="38" fillId="0" borderId="0" xfId="0" applyFont="1" applyBorder="1"/>
    <xf numFmtId="2" fontId="38" fillId="0" borderId="1" xfId="0" applyNumberFormat="1" applyFont="1" applyBorder="1"/>
    <xf numFmtId="0" fontId="16" fillId="0" borderId="1" xfId="0" applyFont="1" applyBorder="1"/>
    <xf numFmtId="2" fontId="38" fillId="0" borderId="0" xfId="0" applyNumberFormat="1" applyFont="1"/>
    <xf numFmtId="0" fontId="38" fillId="37" borderId="1" xfId="0" applyFont="1" applyFill="1" applyBorder="1" applyAlignment="1">
      <alignment horizontal="left"/>
    </xf>
    <xf numFmtId="0" fontId="38" fillId="36" borderId="1" xfId="0" applyFont="1" applyFill="1" applyBorder="1"/>
    <xf numFmtId="164" fontId="38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66" fontId="38" fillId="0" borderId="0" xfId="0" applyNumberFormat="1" applyFont="1" applyBorder="1" applyAlignment="1">
      <alignment horizontal="right"/>
    </xf>
    <xf numFmtId="2" fontId="38" fillId="0" borderId="0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top"/>
    </xf>
    <xf numFmtId="2" fontId="40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6" fillId="0" borderId="0" xfId="0" applyFont="1" applyBorder="1"/>
    <xf numFmtId="164" fontId="41" fillId="0" borderId="1" xfId="0" applyNumberFormat="1" applyFont="1" applyBorder="1" applyAlignment="1">
      <alignment horizontal="center"/>
    </xf>
    <xf numFmtId="2" fontId="40" fillId="0" borderId="0" xfId="0" applyNumberFormat="1" applyFont="1" applyFill="1" applyBorder="1" applyAlignment="1">
      <alignment horizontal="center" vertical="center"/>
    </xf>
    <xf numFmtId="0" fontId="38" fillId="0" borderId="0" xfId="0" applyFont="1" applyAlignment="1"/>
    <xf numFmtId="1" fontId="38" fillId="0" borderId="1" xfId="0" applyNumberFormat="1" applyFont="1" applyBorder="1"/>
    <xf numFmtId="0" fontId="42" fillId="0" borderId="0" xfId="0" applyFont="1" applyBorder="1"/>
    <xf numFmtId="0" fontId="16" fillId="0" borderId="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8" fillId="0" borderId="0" xfId="0" applyFont="1" applyAlignment="1">
      <alignment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right"/>
    </xf>
    <xf numFmtId="0" fontId="16" fillId="0" borderId="1" xfId="0" applyFont="1" applyFill="1" applyBorder="1" applyAlignment="1">
      <alignment horizontal="center"/>
    </xf>
    <xf numFmtId="164" fontId="38" fillId="0" borderId="1" xfId="0" applyNumberFormat="1" applyFont="1" applyBorder="1" applyAlignment="1">
      <alignment horizontal="right" vertical="center"/>
    </xf>
    <xf numFmtId="170" fontId="38" fillId="0" borderId="1" xfId="41" applyNumberFormat="1" applyFont="1" applyBorder="1" applyAlignment="1">
      <alignment horizontal="right"/>
    </xf>
    <xf numFmtId="170" fontId="38" fillId="0" borderId="1" xfId="0" applyNumberFormat="1" applyFont="1" applyBorder="1" applyAlignment="1">
      <alignment horizontal="right"/>
    </xf>
    <xf numFmtId="11" fontId="38" fillId="0" borderId="0" xfId="0" applyNumberFormat="1" applyFont="1"/>
    <xf numFmtId="1" fontId="38" fillId="0" borderId="1" xfId="0" applyNumberFormat="1" applyFont="1" applyBorder="1" applyAlignment="1">
      <alignment horizontal="center" vertical="center"/>
    </xf>
    <xf numFmtId="0" fontId="46" fillId="0" borderId="1" xfId="0" applyFont="1" applyBorder="1"/>
    <xf numFmtId="2" fontId="37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164" fontId="38" fillId="0" borderId="1" xfId="0" applyNumberFormat="1" applyFont="1" applyBorder="1"/>
    <xf numFmtId="0" fontId="48" fillId="0" borderId="0" xfId="0" applyFont="1" applyBorder="1" applyAlignment="1">
      <alignment horizontal="justify" vertical="center" wrapText="1"/>
    </xf>
    <xf numFmtId="9" fontId="48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49" fillId="0" borderId="0" xfId="0" applyFont="1" applyBorder="1" applyAlignment="1">
      <alignment horizontal="left" vertical="center" wrapText="1" indent="2"/>
    </xf>
    <xf numFmtId="10" fontId="38" fillId="0" borderId="1" xfId="41" applyNumberFormat="1" applyFont="1" applyFill="1" applyBorder="1"/>
    <xf numFmtId="10" fontId="38" fillId="0" borderId="1" xfId="41" applyNumberFormat="1" applyFont="1" applyBorder="1"/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4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0" xfId="37" applyFont="1" applyAlignment="1">
      <alignment horizontal="left"/>
    </xf>
    <xf numFmtId="164" fontId="38" fillId="0" borderId="0" xfId="0" applyNumberFormat="1" applyFont="1" applyFill="1"/>
    <xf numFmtId="164" fontId="38" fillId="38" borderId="0" xfId="0" applyNumberFormat="1" applyFont="1" applyFill="1" applyAlignment="1">
      <alignment horizontal="center"/>
    </xf>
    <xf numFmtId="0" fontId="38" fillId="38" borderId="0" xfId="0" applyFont="1" applyFill="1" applyAlignment="1">
      <alignment horizontal="center"/>
    </xf>
    <xf numFmtId="1" fontId="52" fillId="0" borderId="0" xfId="0" applyNumberFormat="1" applyFont="1" applyAlignment="1">
      <alignment horizontal="center" vertical="center"/>
    </xf>
    <xf numFmtId="171" fontId="52" fillId="0" borderId="0" xfId="0" applyNumberFormat="1" applyFont="1" applyAlignment="1">
      <alignment horizontal="center" vertical="center"/>
    </xf>
    <xf numFmtId="172" fontId="53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right" vertical="center"/>
    </xf>
    <xf numFmtId="168" fontId="38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right"/>
    </xf>
    <xf numFmtId="0" fontId="35" fillId="0" borderId="0" xfId="0" applyFont="1" applyAlignment="1"/>
    <xf numFmtId="0" fontId="16" fillId="0" borderId="3" xfId="0" applyFont="1" applyBorder="1"/>
    <xf numFmtId="168" fontId="38" fillId="38" borderId="1" xfId="0" applyNumberFormat="1" applyFont="1" applyFill="1" applyBorder="1"/>
    <xf numFmtId="0" fontId="38" fillId="38" borderId="1" xfId="0" applyFont="1" applyFill="1" applyBorder="1"/>
    <xf numFmtId="172" fontId="38" fillId="38" borderId="1" xfId="0" applyNumberFormat="1" applyFont="1" applyFill="1" applyBorder="1"/>
    <xf numFmtId="0" fontId="38" fillId="37" borderId="1" xfId="0" applyFont="1" applyFill="1" applyBorder="1" applyAlignment="1">
      <alignment horizontal="left" vertical="center"/>
    </xf>
    <xf numFmtId="0" fontId="35" fillId="3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64" fontId="38" fillId="0" borderId="0" xfId="0" applyNumberFormat="1" applyFont="1" applyBorder="1" applyAlignment="1">
      <alignment horizontal="right" vertical="center"/>
    </xf>
    <xf numFmtId="0" fontId="38" fillId="0" borderId="0" xfId="46" applyFont="1"/>
    <xf numFmtId="2" fontId="11" fillId="0" borderId="0" xfId="46" applyNumberFormat="1" applyFont="1" applyAlignment="1"/>
    <xf numFmtId="0" fontId="11" fillId="0" borderId="0" xfId="46" applyFont="1"/>
    <xf numFmtId="15" fontId="11" fillId="0" borderId="0" xfId="46" applyNumberFormat="1" applyFont="1" applyAlignment="1">
      <alignment horizontal="left"/>
    </xf>
    <xf numFmtId="15" fontId="11" fillId="0" borderId="0" xfId="46" applyNumberFormat="1" applyFont="1"/>
    <xf numFmtId="0" fontId="16" fillId="33" borderId="0" xfId="46" applyFont="1" applyFill="1" applyAlignment="1">
      <alignment horizontal="center"/>
    </xf>
    <xf numFmtId="0" fontId="16" fillId="0" borderId="0" xfId="46" applyFont="1" applyAlignment="1">
      <alignment horizontal="center"/>
    </xf>
    <xf numFmtId="0" fontId="38" fillId="41" borderId="1" xfId="46" applyFont="1" applyFill="1" applyBorder="1" applyAlignment="1">
      <alignment horizontal="center" vertical="center" wrapText="1"/>
    </xf>
    <xf numFmtId="0" fontId="38" fillId="41" borderId="1" xfId="46" applyFont="1" applyFill="1" applyBorder="1" applyAlignment="1">
      <alignment horizontal="center" vertical="center"/>
    </xf>
    <xf numFmtId="0" fontId="38" fillId="0" borderId="1" xfId="46" applyFont="1" applyBorder="1" applyAlignment="1">
      <alignment horizontal="left" vertical="center" wrapText="1"/>
    </xf>
    <xf numFmtId="0" fontId="38" fillId="0" borderId="1" xfId="46" applyFont="1" applyBorder="1" applyAlignment="1">
      <alignment horizontal="center" vertical="center"/>
    </xf>
    <xf numFmtId="2" fontId="38" fillId="0" borderId="1" xfId="46" applyNumberFormat="1" applyFont="1" applyBorder="1" applyAlignment="1">
      <alignment horizontal="center" vertical="center"/>
    </xf>
    <xf numFmtId="0" fontId="38" fillId="0" borderId="0" xfId="46" applyFont="1" applyAlignment="1">
      <alignment vertical="center" wrapText="1"/>
    </xf>
    <xf numFmtId="0" fontId="16" fillId="42" borderId="0" xfId="46" applyFont="1" applyFill="1" applyAlignment="1">
      <alignment horizontal="left"/>
    </xf>
    <xf numFmtId="0" fontId="42" fillId="0" borderId="0" xfId="46" applyFont="1"/>
    <xf numFmtId="0" fontId="38" fillId="0" borderId="0" xfId="46" applyFont="1" applyBorder="1" applyAlignment="1">
      <alignment horizontal="left"/>
    </xf>
    <xf numFmtId="0" fontId="38" fillId="0" borderId="0" xfId="46" applyFont="1" applyBorder="1"/>
    <xf numFmtId="2" fontId="38" fillId="0" borderId="0" xfId="46" applyNumberFormat="1" applyFont="1" applyBorder="1"/>
    <xf numFmtId="0" fontId="57" fillId="0" borderId="0" xfId="46" applyFont="1"/>
    <xf numFmtId="1" fontId="38" fillId="38" borderId="0" xfId="46" applyNumberFormat="1" applyFont="1" applyFill="1" applyBorder="1"/>
    <xf numFmtId="1" fontId="38" fillId="0" borderId="0" xfId="46" applyNumberFormat="1" applyFont="1" applyBorder="1"/>
    <xf numFmtId="0" fontId="57" fillId="0" borderId="0" xfId="46" applyFont="1" applyBorder="1"/>
    <xf numFmtId="1" fontId="38" fillId="42" borderId="0" xfId="46" applyNumberFormat="1" applyFont="1" applyFill="1" applyBorder="1"/>
    <xf numFmtId="0" fontId="38" fillId="40" borderId="1" xfId="0" applyFont="1" applyFill="1" applyBorder="1" applyAlignment="1">
      <alignment horizontal="center" vertical="center"/>
    </xf>
    <xf numFmtId="0" fontId="38" fillId="40" borderId="1" xfId="0" applyFont="1" applyFill="1" applyBorder="1"/>
    <xf numFmtId="1" fontId="38" fillId="40" borderId="1" xfId="0" applyNumberFormat="1" applyFont="1" applyFill="1" applyBorder="1" applyAlignment="1">
      <alignment horizontal="center" vertical="center"/>
    </xf>
    <xf numFmtId="15" fontId="38" fillId="0" borderId="0" xfId="0" applyNumberFormat="1" applyFont="1" applyAlignment="1">
      <alignment horizontal="left"/>
    </xf>
    <xf numFmtId="174" fontId="38" fillId="0" borderId="1" xfId="0" applyNumberFormat="1" applyFont="1" applyBorder="1" applyAlignment="1">
      <alignment horizontal="left"/>
    </xf>
    <xf numFmtId="0" fontId="5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right" vertical="center"/>
    </xf>
    <xf numFmtId="0" fontId="38" fillId="40" borderId="1" xfId="0" applyFont="1" applyFill="1" applyBorder="1" applyAlignment="1">
      <alignment horizontal="right" vertical="center"/>
    </xf>
    <xf numFmtId="0" fontId="10" fillId="0" borderId="0" xfId="46" applyFont="1" applyFill="1"/>
    <xf numFmtId="0" fontId="11" fillId="0" borderId="0" xfId="46" applyFont="1" applyFill="1"/>
    <xf numFmtId="0" fontId="11" fillId="0" borderId="0" xfId="46" applyFont="1" applyFill="1" applyBorder="1"/>
    <xf numFmtId="0" fontId="11" fillId="0" borderId="0" xfId="46" applyFont="1" applyFill="1" applyBorder="1" applyAlignment="1">
      <alignment horizontal="center"/>
    </xf>
    <xf numFmtId="1" fontId="11" fillId="0" borderId="0" xfId="46" applyNumberFormat="1" applyFont="1" applyFill="1" applyBorder="1" applyAlignment="1">
      <alignment horizontal="center"/>
    </xf>
    <xf numFmtId="0" fontId="11" fillId="0" borderId="0" xfId="46" applyFont="1" applyFill="1" applyAlignment="1">
      <alignment horizontal="left"/>
    </xf>
    <xf numFmtId="1" fontId="11" fillId="0" borderId="0" xfId="46" applyNumberFormat="1" applyFont="1" applyFill="1" applyAlignment="1">
      <alignment horizontal="center"/>
    </xf>
    <xf numFmtId="0" fontId="38" fillId="0" borderId="1" xfId="46" applyFont="1" applyFill="1" applyBorder="1"/>
    <xf numFmtId="0" fontId="16" fillId="0" borderId="0" xfId="46" applyFont="1" applyFill="1"/>
    <xf numFmtId="0" fontId="38" fillId="0" borderId="0" xfId="46" applyFont="1" applyFill="1"/>
    <xf numFmtId="0" fontId="38" fillId="0" borderId="0" xfId="46" applyFont="1" applyFill="1" applyAlignment="1">
      <alignment horizontal="center"/>
    </xf>
    <xf numFmtId="0" fontId="38" fillId="0" borderId="0" xfId="46" applyFont="1" applyFill="1" applyAlignment="1">
      <alignment horizontal="left"/>
    </xf>
    <xf numFmtId="164" fontId="38" fillId="0" borderId="0" xfId="46" applyNumberFormat="1" applyFont="1" applyBorder="1" applyAlignment="1">
      <alignment horizontal="center"/>
    </xf>
    <xf numFmtId="2" fontId="38" fillId="33" borderId="0" xfId="46" applyNumberFormat="1" applyFont="1" applyFill="1" applyAlignment="1">
      <alignment horizontal="center"/>
    </xf>
    <xf numFmtId="0" fontId="38" fillId="33" borderId="1" xfId="46" applyFont="1" applyFill="1" applyBorder="1"/>
    <xf numFmtId="2" fontId="38" fillId="0" borderId="0" xfId="46" applyNumberFormat="1" applyFont="1" applyAlignment="1"/>
    <xf numFmtId="0" fontId="35" fillId="0" borderId="0" xfId="46" applyFont="1"/>
    <xf numFmtId="15" fontId="38" fillId="0" borderId="0" xfId="46" applyNumberFormat="1" applyFont="1"/>
    <xf numFmtId="0" fontId="16" fillId="0" borderId="0" xfId="46" applyFont="1"/>
    <xf numFmtId="0" fontId="16" fillId="0" borderId="0" xfId="37" applyFont="1" applyAlignment="1"/>
    <xf numFmtId="2" fontId="38" fillId="0" borderId="0" xfId="0" applyNumberFormat="1" applyFont="1" applyAlignment="1"/>
    <xf numFmtId="0" fontId="37" fillId="0" borderId="0" xfId="0" applyFont="1"/>
    <xf numFmtId="1" fontId="38" fillId="0" borderId="1" xfId="0" applyNumberFormat="1" applyFont="1" applyBorder="1" applyAlignment="1">
      <alignment horizontal="right"/>
    </xf>
    <xf numFmtId="1" fontId="38" fillId="40" borderId="1" xfId="0" applyNumberFormat="1" applyFont="1" applyFill="1" applyBorder="1" applyAlignment="1">
      <alignment horizontal="right"/>
    </xf>
    <xf numFmtId="173" fontId="16" fillId="33" borderId="1" xfId="47" applyNumberFormat="1" applyFont="1" applyFill="1" applyBorder="1" applyAlignment="1">
      <alignment vertical="center"/>
    </xf>
    <xf numFmtId="164" fontId="11" fillId="0" borderId="0" xfId="46" applyNumberFormat="1" applyFont="1"/>
    <xf numFmtId="0" fontId="54" fillId="0" borderId="0" xfId="46" applyFont="1" applyFill="1"/>
    <xf numFmtId="0" fontId="42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6" fillId="0" borderId="4" xfId="0" applyFont="1" applyBorder="1" applyAlignment="1"/>
    <xf numFmtId="0" fontId="16" fillId="0" borderId="8" xfId="0" applyFont="1" applyBorder="1" applyAlignment="1"/>
    <xf numFmtId="0" fontId="16" fillId="0" borderId="1" xfId="0" applyFont="1" applyBorder="1" applyAlignment="1"/>
    <xf numFmtId="2" fontId="40" fillId="0" borderId="1" xfId="0" applyNumberFormat="1" applyFont="1" applyBorder="1" applyAlignment="1">
      <alignment horizontal="center"/>
    </xf>
    <xf numFmtId="0" fontId="38" fillId="43" borderId="0" xfId="0" applyFont="1" applyFill="1"/>
    <xf numFmtId="10" fontId="38" fillId="0" borderId="1" xfId="41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8" fillId="0" borderId="11" xfId="46" applyFont="1" applyFill="1" applyBorder="1" applyAlignment="1">
      <alignment horizontal="center"/>
    </xf>
    <xf numFmtId="1" fontId="59" fillId="44" borderId="0" xfId="0" applyNumberFormat="1" applyFont="1" applyFill="1"/>
    <xf numFmtId="1" fontId="38" fillId="0" borderId="0" xfId="0" applyNumberFormat="1" applyFont="1" applyBorder="1"/>
    <xf numFmtId="1" fontId="38" fillId="0" borderId="0" xfId="0" applyNumberFormat="1" applyFont="1" applyBorder="1" applyAlignment="1">
      <alignment horizontal="center" vertical="center"/>
    </xf>
    <xf numFmtId="0" fontId="58" fillId="0" borderId="0" xfId="0" applyFont="1" applyFill="1"/>
    <xf numFmtId="164" fontId="38" fillId="0" borderId="0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4" fillId="0" borderId="0" xfId="0" applyFont="1"/>
    <xf numFmtId="0" fontId="38" fillId="0" borderId="0" xfId="0" applyFont="1" applyBorder="1" applyAlignment="1">
      <alignment horizontal="center"/>
    </xf>
    <xf numFmtId="170" fontId="38" fillId="0" borderId="0" xfId="0" applyNumberFormat="1" applyFont="1" applyBorder="1" applyAlignment="1">
      <alignment horizontal="right"/>
    </xf>
    <xf numFmtId="10" fontId="38" fillId="0" borderId="0" xfId="0" applyNumberFormat="1" applyFont="1" applyBorder="1" applyAlignment="1">
      <alignment horizontal="right"/>
    </xf>
    <xf numFmtId="43" fontId="38" fillId="0" borderId="1" xfId="47" applyNumberFormat="1" applyFont="1" applyFill="1" applyBorder="1" applyAlignment="1">
      <alignment vertical="center"/>
    </xf>
    <xf numFmtId="2" fontId="38" fillId="36" borderId="1" xfId="45" applyNumberFormat="1" applyFont="1" applyFill="1" applyBorder="1" applyAlignment="1">
      <alignment horizontal="right" vertical="center" wrapText="1"/>
    </xf>
    <xf numFmtId="2" fontId="16" fillId="0" borderId="1" xfId="45" applyNumberFormat="1" applyFont="1" applyBorder="1" applyAlignment="1">
      <alignment horizontal="right" vertical="center"/>
    </xf>
    <xf numFmtId="2" fontId="38" fillId="0" borderId="1" xfId="45" applyNumberFormat="1" applyFont="1" applyBorder="1" applyAlignment="1">
      <alignment horizontal="right" vertical="center"/>
    </xf>
    <xf numFmtId="0" fontId="38" fillId="35" borderId="1" xfId="0" applyFont="1" applyFill="1" applyBorder="1"/>
    <xf numFmtId="0" fontId="38" fillId="35" borderId="1" xfId="0" applyFont="1" applyFill="1" applyBorder="1" applyAlignment="1">
      <alignment horizontal="right" vertical="center"/>
    </xf>
    <xf numFmtId="2" fontId="16" fillId="35" borderId="1" xfId="45" applyNumberFormat="1" applyFont="1" applyFill="1" applyBorder="1" applyAlignment="1">
      <alignment horizontal="right" vertical="center"/>
    </xf>
    <xf numFmtId="2" fontId="38" fillId="35" borderId="1" xfId="45" applyNumberFormat="1" applyFont="1" applyFill="1" applyBorder="1" applyAlignment="1">
      <alignment horizontal="right" vertical="center"/>
    </xf>
    <xf numFmtId="0" fontId="11" fillId="0" borderId="1" xfId="37" applyFont="1" applyFill="1" applyBorder="1" applyAlignment="1">
      <alignment horizontal="center"/>
    </xf>
    <xf numFmtId="0" fontId="10" fillId="0" borderId="1" xfId="37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" fontId="11" fillId="0" borderId="0" xfId="37" applyNumberFormat="1" applyFont="1" applyBorder="1" applyAlignment="1">
      <alignment horizontal="center"/>
    </xf>
    <xf numFmtId="0" fontId="3" fillId="33" borderId="0" xfId="0" applyFont="1" applyFill="1"/>
    <xf numFmtId="164" fontId="11" fillId="35" borderId="1" xfId="37" applyNumberFormat="1" applyFont="1" applyFill="1" applyBorder="1" applyAlignment="1">
      <alignment horizontal="center"/>
    </xf>
    <xf numFmtId="0" fontId="2" fillId="33" borderId="0" xfId="0" applyFont="1" applyFill="1"/>
    <xf numFmtId="0" fontId="38" fillId="0" borderId="1" xfId="0" applyFont="1" applyBorder="1" applyAlignment="1">
      <alignment horizontal="right"/>
    </xf>
    <xf numFmtId="10" fontId="38" fillId="0" borderId="1" xfId="41" applyNumberFormat="1" applyFont="1" applyBorder="1" applyAlignment="1">
      <alignment horizontal="right"/>
    </xf>
    <xf numFmtId="164" fontId="38" fillId="33" borderId="1" xfId="0" applyNumberFormat="1" applyFont="1" applyFill="1" applyBorder="1" applyAlignment="1">
      <alignment horizontal="left"/>
    </xf>
    <xf numFmtId="43" fontId="38" fillId="0" borderId="1" xfId="47" applyNumberFormat="1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2" fontId="38" fillId="33" borderId="1" xfId="0" applyNumberFormat="1" applyFont="1" applyFill="1" applyBorder="1" applyAlignment="1">
      <alignment horizontal="left"/>
    </xf>
    <xf numFmtId="164" fontId="38" fillId="0" borderId="1" xfId="0" applyNumberFormat="1" applyFont="1" applyFill="1" applyBorder="1" applyAlignment="1">
      <alignment horizontal="left"/>
    </xf>
    <xf numFmtId="43" fontId="38" fillId="0" borderId="1" xfId="47" applyNumberFormat="1" applyFont="1" applyFill="1" applyBorder="1" applyAlignment="1">
      <alignment horizontal="left"/>
    </xf>
    <xf numFmtId="43" fontId="38" fillId="33" borderId="1" xfId="0" applyNumberFormat="1" applyFont="1" applyFill="1" applyBorder="1"/>
    <xf numFmtId="0" fontId="38" fillId="0" borderId="0" xfId="0" applyFont="1" applyBorder="1" applyAlignment="1">
      <alignment horizontal="left"/>
    </xf>
    <xf numFmtId="164" fontId="38" fillId="0" borderId="0" xfId="0" applyNumberFormat="1" applyFont="1" applyBorder="1"/>
    <xf numFmtId="9" fontId="38" fillId="0" borderId="0" xfId="41" applyFont="1" applyBorder="1"/>
    <xf numFmtId="10" fontId="38" fillId="0" borderId="1" xfId="41" applyNumberFormat="1" applyFont="1" applyBorder="1" applyAlignment="1">
      <alignment horizontal="center"/>
    </xf>
    <xf numFmtId="2" fontId="38" fillId="0" borderId="1" xfId="0" applyNumberFormat="1" applyFont="1" applyBorder="1" applyAlignment="1">
      <alignment horizontal="center"/>
    </xf>
    <xf numFmtId="1" fontId="59" fillId="0" borderId="0" xfId="0" applyNumberFormat="1" applyFont="1" applyFill="1"/>
    <xf numFmtId="1" fontId="38" fillId="0" borderId="0" xfId="0" applyNumberFormat="1" applyFont="1" applyFill="1"/>
    <xf numFmtId="0" fontId="10" fillId="0" borderId="0" xfId="46" applyFont="1" applyAlignment="1">
      <alignment horizontal="left"/>
    </xf>
    <xf numFmtId="0" fontId="16" fillId="0" borderId="0" xfId="37" applyFont="1" applyAlignment="1">
      <alignment horizontal="left"/>
    </xf>
    <xf numFmtId="9" fontId="48" fillId="0" borderId="0" xfId="0" applyNumberFormat="1" applyFont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top"/>
    </xf>
    <xf numFmtId="0" fontId="38" fillId="0" borderId="11" xfId="0" applyFont="1" applyFill="1" applyBorder="1" applyAlignment="1">
      <alignment horizontal="center" vertical="top"/>
    </xf>
    <xf numFmtId="0" fontId="16" fillId="0" borderId="10" xfId="0" applyFont="1" applyFill="1" applyBorder="1" applyAlignment="1">
      <alignment horizontal="left" vertical="top"/>
    </xf>
    <xf numFmtId="0" fontId="16" fillId="0" borderId="11" xfId="0" applyFont="1" applyFill="1" applyBorder="1" applyAlignment="1">
      <alignment horizontal="left" vertical="top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38" fillId="0" borderId="10" xfId="0" applyFont="1" applyBorder="1" applyAlignment="1">
      <alignment horizontal="left" vertical="center" wrapText="1"/>
    </xf>
    <xf numFmtId="0" fontId="38" fillId="0" borderId="21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21" xfId="0" applyFont="1" applyFill="1" applyBorder="1" applyAlignment="1">
      <alignment horizontal="center" vertical="top"/>
    </xf>
    <xf numFmtId="0" fontId="38" fillId="0" borderId="4" xfId="0" applyFont="1" applyBorder="1" applyAlignment="1">
      <alignment horizontal="center"/>
    </xf>
    <xf numFmtId="0" fontId="38" fillId="0" borderId="8" xfId="0" applyFont="1" applyBorder="1" applyAlignment="1">
      <alignment horizontal="center"/>
    </xf>
    <xf numFmtId="0" fontId="38" fillId="0" borderId="9" xfId="0" applyFont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0" xfId="46" applyFont="1" applyAlignment="1">
      <alignment horizontal="left"/>
    </xf>
    <xf numFmtId="0" fontId="16" fillId="0" borderId="1" xfId="0" applyFont="1" applyFill="1" applyBorder="1" applyAlignment="1">
      <alignment horizontal="left" vertical="top"/>
    </xf>
    <xf numFmtId="0" fontId="16" fillId="0" borderId="4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0" fillId="33" borderId="1" xfId="37" applyFont="1" applyFill="1" applyBorder="1" applyAlignment="1">
      <alignment horizontal="center"/>
    </xf>
    <xf numFmtId="0" fontId="10" fillId="0" borderId="4" xfId="37" applyFont="1" applyBorder="1" applyAlignment="1">
      <alignment horizontal="center"/>
    </xf>
    <xf numFmtId="0" fontId="10" fillId="0" borderId="9" xfId="37" applyFont="1" applyBorder="1" applyAlignment="1">
      <alignment horizontal="center"/>
    </xf>
    <xf numFmtId="0" fontId="10" fillId="0" borderId="0" xfId="37" applyFont="1" applyAlignment="1">
      <alignment horizontal="center"/>
    </xf>
    <xf numFmtId="0" fontId="9" fillId="0" borderId="0" xfId="37" applyFont="1" applyBorder="1" applyAlignment="1">
      <alignment horizontal="center"/>
    </xf>
    <xf numFmtId="0" fontId="9" fillId="0" borderId="0" xfId="37" applyFont="1" applyBorder="1" applyAlignment="1">
      <alignment horizontal="left"/>
    </xf>
    <xf numFmtId="0" fontId="10" fillId="0" borderId="1" xfId="37" applyFont="1" applyFill="1" applyBorder="1" applyAlignment="1">
      <alignment horizontal="center" vertical="center" wrapText="1"/>
    </xf>
    <xf numFmtId="0" fontId="11" fillId="0" borderId="1" xfId="37" applyFont="1" applyFill="1" applyBorder="1" applyAlignment="1">
      <alignment horizontal="center"/>
    </xf>
    <xf numFmtId="0" fontId="10" fillId="0" borderId="0" xfId="37" applyFont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0" fillId="0" borderId="1" xfId="37" applyFont="1" applyFill="1" applyBorder="1" applyAlignment="1">
      <alignment horizontal="center"/>
    </xf>
    <xf numFmtId="0" fontId="10" fillId="33" borderId="3" xfId="37" applyFont="1" applyFill="1" applyBorder="1" applyAlignment="1">
      <alignment horizontal="center"/>
    </xf>
    <xf numFmtId="0" fontId="10" fillId="33" borderId="22" xfId="37" applyFont="1" applyFill="1" applyBorder="1" applyAlignment="1">
      <alignment horizontal="center"/>
    </xf>
    <xf numFmtId="0" fontId="10" fillId="0" borderId="3" xfId="37" applyFont="1" applyBorder="1" applyAlignment="1">
      <alignment horizontal="center"/>
    </xf>
    <xf numFmtId="0" fontId="10" fillId="33" borderId="4" xfId="37" applyFont="1" applyFill="1" applyBorder="1" applyAlignment="1">
      <alignment horizontal="center"/>
    </xf>
    <xf numFmtId="0" fontId="10" fillId="33" borderId="8" xfId="37" applyFont="1" applyFill="1" applyBorder="1" applyAlignment="1">
      <alignment horizontal="center"/>
    </xf>
    <xf numFmtId="0" fontId="10" fillId="33" borderId="9" xfId="37" applyFont="1" applyFill="1" applyBorder="1" applyAlignment="1">
      <alignment horizontal="center"/>
    </xf>
    <xf numFmtId="0" fontId="10" fillId="0" borderId="10" xfId="37" applyFont="1" applyFill="1" applyBorder="1" applyAlignment="1">
      <alignment horizontal="center" vertical="center" wrapText="1"/>
    </xf>
    <xf numFmtId="0" fontId="10" fillId="0" borderId="11" xfId="37" applyFont="1" applyFill="1" applyBorder="1" applyAlignment="1">
      <alignment horizontal="center" vertical="center" wrapText="1"/>
    </xf>
    <xf numFmtId="0" fontId="11" fillId="0" borderId="4" xfId="37" applyFont="1" applyFill="1" applyBorder="1" applyAlignment="1">
      <alignment horizontal="center"/>
    </xf>
    <xf numFmtId="0" fontId="11" fillId="0" borderId="9" xfId="37" applyFont="1" applyFill="1" applyBorder="1" applyAlignment="1">
      <alignment horizontal="center"/>
    </xf>
    <xf numFmtId="0" fontId="10" fillId="0" borderId="4" xfId="37" applyFont="1" applyFill="1" applyBorder="1" applyAlignment="1">
      <alignment horizontal="center"/>
    </xf>
    <xf numFmtId="0" fontId="10" fillId="0" borderId="8" xfId="37" applyFont="1" applyFill="1" applyBorder="1" applyAlignment="1">
      <alignment horizontal="center"/>
    </xf>
    <xf numFmtId="0" fontId="10" fillId="0" borderId="9" xfId="37" applyFont="1" applyFill="1" applyBorder="1" applyAlignment="1">
      <alignment horizontal="center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1" fontId="38" fillId="0" borderId="0" xfId="46" applyNumberFormat="1" applyFont="1" applyFill="1"/>
    <xf numFmtId="1" fontId="38" fillId="36" borderId="1" xfId="45" applyNumberFormat="1" applyFont="1" applyFill="1" applyBorder="1" applyAlignment="1">
      <alignment horizontal="right" vertical="center" wrapText="1"/>
    </xf>
    <xf numFmtId="1" fontId="38" fillId="35" borderId="1" xfId="45" applyNumberFormat="1" applyFont="1" applyFill="1" applyBorder="1" applyAlignment="1">
      <alignment horizontal="right" vertical="center" wrapText="1"/>
    </xf>
    <xf numFmtId="0" fontId="10" fillId="33" borderId="23" xfId="46" applyFont="1" applyFill="1" applyBorder="1" applyAlignment="1">
      <alignment horizontal="center"/>
    </xf>
    <xf numFmtId="0" fontId="10" fillId="0" borderId="0" xfId="46" applyFont="1" applyAlignment="1">
      <alignment horizontal="center"/>
    </xf>
    <xf numFmtId="0" fontId="6" fillId="0" borderId="0" xfId="46" applyFont="1" applyAlignment="1"/>
    <xf numFmtId="0" fontId="8" fillId="0" borderId="0" xfId="46" applyFont="1"/>
    <xf numFmtId="15" fontId="10" fillId="0" borderId="0" xfId="46" applyNumberFormat="1" applyFont="1"/>
    <xf numFmtId="15" fontId="11" fillId="33" borderId="0" xfId="46" applyNumberFormat="1" applyFont="1" applyFill="1"/>
    <xf numFmtId="0" fontId="12" fillId="0" borderId="0" xfId="46" applyFont="1"/>
    <xf numFmtId="0" fontId="9" fillId="0" borderId="0" xfId="46" applyFont="1"/>
    <xf numFmtId="0" fontId="36" fillId="33" borderId="0" xfId="0" applyFont="1" applyFill="1"/>
    <xf numFmtId="0" fontId="1" fillId="0" borderId="0" xfId="0" applyFont="1"/>
    <xf numFmtId="2" fontId="36" fillId="33" borderId="0" xfId="0" applyNumberFormat="1" applyFont="1" applyFill="1"/>
    <xf numFmtId="0" fontId="1" fillId="0" borderId="0" xfId="0" applyFont="1" applyAlignment="1">
      <alignment horizontal="right"/>
    </xf>
    <xf numFmtId="0" fontId="9" fillId="0" borderId="0" xfId="46" applyFont="1" applyAlignment="1">
      <alignment horizontal="center"/>
    </xf>
    <xf numFmtId="0" fontId="10" fillId="0" borderId="24" xfId="46" applyFont="1" applyBorder="1"/>
    <xf numFmtId="0" fontId="10" fillId="0" borderId="25" xfId="46" applyFont="1" applyBorder="1"/>
    <xf numFmtId="0" fontId="10" fillId="0" borderId="26" xfId="46" applyFont="1" applyBorder="1"/>
    <xf numFmtId="0" fontId="10" fillId="0" borderId="27" xfId="46" applyFont="1" applyBorder="1"/>
    <xf numFmtId="0" fontId="10" fillId="0" borderId="23" xfId="46" applyFont="1" applyBorder="1" applyAlignment="1">
      <alignment horizontal="center"/>
    </xf>
    <xf numFmtId="0" fontId="10" fillId="0" borderId="28" xfId="46" applyFont="1" applyBorder="1"/>
    <xf numFmtId="0" fontId="11" fillId="0" borderId="29" xfId="46" applyFont="1" applyBorder="1"/>
    <xf numFmtId="164" fontId="11" fillId="0" borderId="6" xfId="46" applyNumberFormat="1" applyFont="1" applyBorder="1"/>
    <xf numFmtId="1" fontId="11" fillId="0" borderId="23" xfId="46" applyNumberFormat="1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8" fillId="0" borderId="0" xfId="46" applyFont="1" applyAlignment="1">
      <alignment horizontal="center"/>
    </xf>
    <xf numFmtId="14" fontId="38" fillId="0" borderId="0" xfId="46" applyNumberFormat="1" applyFont="1"/>
    <xf numFmtId="0" fontId="11" fillId="0" borderId="0" xfId="46" applyFont="1" applyAlignment="1">
      <alignment horizontal="center" vertical="center"/>
    </xf>
    <xf numFmtId="14" fontId="11" fillId="0" borderId="0" xfId="46" applyNumberFormat="1" applyFont="1" applyAlignment="1">
      <alignment horizontal="center" vertical="center"/>
    </xf>
    <xf numFmtId="14" fontId="8" fillId="0" borderId="0" xfId="46" applyNumberFormat="1" applyFont="1"/>
    <xf numFmtId="0" fontId="0" fillId="0" borderId="0" xfId="0" applyBorder="1" applyAlignment="1">
      <alignment horizontal="right"/>
    </xf>
    <xf numFmtId="0" fontId="36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1" fillId="37" borderId="0" xfId="46" applyFont="1" applyFill="1" applyAlignment="1">
      <alignment horizontal="center" vertical="center"/>
    </xf>
    <xf numFmtId="14" fontId="11" fillId="37" borderId="0" xfId="46" applyNumberFormat="1" applyFont="1" applyFill="1" applyAlignment="1">
      <alignment horizontal="center" vertical="center"/>
    </xf>
    <xf numFmtId="0" fontId="5" fillId="0" borderId="0" xfId="46" applyFont="1" applyBorder="1"/>
    <xf numFmtId="166" fontId="5" fillId="0" borderId="0" xfId="46" applyNumberFormat="1" applyFont="1" applyBorder="1"/>
    <xf numFmtId="0" fontId="5" fillId="0" borderId="0" xfId="46" applyFont="1"/>
    <xf numFmtId="167" fontId="5" fillId="0" borderId="0" xfId="46" applyNumberFormat="1" applyFont="1"/>
    <xf numFmtId="0" fontId="6" fillId="0" borderId="0" xfId="46" applyFont="1" applyAlignment="1">
      <alignment horizontal="center"/>
    </xf>
    <xf numFmtId="0" fontId="6" fillId="0" borderId="0" xfId="46" applyFont="1" applyBorder="1" applyAlignment="1"/>
    <xf numFmtId="0" fontId="5" fillId="0" borderId="30" xfId="46" applyFont="1" applyBorder="1"/>
    <xf numFmtId="166" fontId="5" fillId="0" borderId="31" xfId="46" applyNumberFormat="1" applyFont="1" applyBorder="1"/>
    <xf numFmtId="166" fontId="5" fillId="0" borderId="25" xfId="46" applyNumberFormat="1" applyFont="1" applyBorder="1"/>
    <xf numFmtId="0" fontId="5" fillId="0" borderId="26" xfId="46" applyFont="1" applyBorder="1"/>
    <xf numFmtId="166" fontId="5" fillId="0" borderId="0" xfId="46" applyNumberFormat="1" applyFont="1"/>
    <xf numFmtId="0" fontId="6" fillId="0" borderId="0" xfId="46" applyFont="1" applyFill="1" applyBorder="1" applyAlignment="1">
      <alignment horizontal="center"/>
    </xf>
    <xf numFmtId="0" fontId="5" fillId="0" borderId="32" xfId="46" applyFont="1" applyBorder="1"/>
    <xf numFmtId="166" fontId="5" fillId="0" borderId="9" xfId="46" applyNumberFormat="1" applyFont="1" applyBorder="1"/>
    <xf numFmtId="166" fontId="5" fillId="0" borderId="1" xfId="46" applyNumberFormat="1" applyFont="1" applyBorder="1"/>
    <xf numFmtId="0" fontId="61" fillId="0" borderId="33" xfId="46" applyFont="1" applyBorder="1"/>
    <xf numFmtId="0" fontId="5" fillId="0" borderId="34" xfId="46" applyFont="1" applyBorder="1"/>
    <xf numFmtId="166" fontId="5" fillId="0" borderId="29" xfId="46" applyNumberFormat="1" applyFont="1" applyBorder="1"/>
    <xf numFmtId="166" fontId="5" fillId="0" borderId="23" xfId="46" applyNumberFormat="1" applyFont="1" applyBorder="1"/>
    <xf numFmtId="0" fontId="5" fillId="0" borderId="28" xfId="46" applyFont="1" applyBorder="1"/>
    <xf numFmtId="0" fontId="5" fillId="0" borderId="0" xfId="46" applyFont="1" applyFill="1" applyBorder="1" applyAlignment="1">
      <alignment horizontal="center"/>
    </xf>
    <xf numFmtId="2" fontId="62" fillId="0" borderId="0" xfId="46" applyNumberFormat="1" applyFont="1" applyFill="1" applyBorder="1" applyAlignment="1">
      <alignment horizontal="center"/>
    </xf>
    <xf numFmtId="0" fontId="6" fillId="0" borderId="0" xfId="46" applyFont="1" applyBorder="1" applyAlignment="1">
      <alignment horizontal="center"/>
    </xf>
    <xf numFmtId="0" fontId="5" fillId="0" borderId="1" xfId="46" applyFont="1" applyFill="1" applyBorder="1" applyAlignment="1">
      <alignment horizontal="center"/>
    </xf>
    <xf numFmtId="166" fontId="5" fillId="0" borderId="1" xfId="46" applyNumberFormat="1" applyFont="1" applyFill="1" applyBorder="1" applyAlignment="1">
      <alignment horizontal="center"/>
    </xf>
    <xf numFmtId="2" fontId="6" fillId="0" borderId="1" xfId="46" applyNumberFormat="1" applyFont="1" applyFill="1" applyBorder="1" applyAlignment="1">
      <alignment horizontal="center"/>
    </xf>
    <xf numFmtId="2" fontId="5" fillId="0" borderId="1" xfId="46" applyNumberFormat="1" applyFont="1" applyFill="1" applyBorder="1" applyAlignment="1">
      <alignment horizontal="center"/>
    </xf>
    <xf numFmtId="0" fontId="8" fillId="0" borderId="0" xfId="46" applyFont="1" applyFill="1"/>
    <xf numFmtId="166" fontId="5" fillId="34" borderId="1" xfId="46" applyNumberFormat="1" applyFont="1" applyFill="1" applyBorder="1" applyAlignment="1">
      <alignment horizontal="center"/>
    </xf>
    <xf numFmtId="2" fontId="6" fillId="34" borderId="1" xfId="46" applyNumberFormat="1" applyFont="1" applyFill="1" applyBorder="1" applyAlignment="1">
      <alignment horizontal="center"/>
    </xf>
    <xf numFmtId="2" fontId="5" fillId="34" borderId="1" xfId="46" applyNumberFormat="1" applyFont="1" applyFill="1" applyBorder="1" applyAlignment="1">
      <alignment horizontal="center"/>
    </xf>
    <xf numFmtId="0" fontId="63" fillId="0" borderId="0" xfId="46" applyFont="1"/>
    <xf numFmtId="166" fontId="8" fillId="0" borderId="0" xfId="46" applyNumberFormat="1" applyFont="1"/>
    <xf numFmtId="0" fontId="6" fillId="33" borderId="35" xfId="46" applyFont="1" applyFill="1" applyBorder="1" applyAlignment="1">
      <alignment horizontal="center"/>
    </xf>
    <xf numFmtId="0" fontId="6" fillId="33" borderId="7" xfId="46" applyFont="1" applyFill="1" applyBorder="1" applyAlignment="1">
      <alignment horizontal="center"/>
    </xf>
    <xf numFmtId="0" fontId="6" fillId="33" borderId="36" xfId="46" applyFont="1" applyFill="1" applyBorder="1" applyAlignment="1">
      <alignment horizontal="center"/>
    </xf>
    <xf numFmtId="0" fontId="6" fillId="0" borderId="1" xfId="46" applyFont="1" applyFill="1" applyBorder="1" applyAlignment="1">
      <alignment horizontal="center" vertical="center"/>
    </xf>
    <xf numFmtId="0" fontId="6" fillId="0" borderId="1" xfId="46" applyFont="1" applyFill="1" applyBorder="1" applyAlignment="1">
      <alignment horizontal="center"/>
    </xf>
    <xf numFmtId="0" fontId="5" fillId="34" borderId="1" xfId="46" applyFont="1" applyFill="1" applyBorder="1" applyAlignment="1">
      <alignment horizont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Comma 2" xfId="47" xr:uid="{00000000-0005-0000-0000-00001C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rmal 2 2" xfId="46" xr:uid="{00000000-0005-0000-0000-000028000000}"/>
    <cellStyle name="Normal 3" xfId="38" xr:uid="{00000000-0005-0000-0000-000029000000}"/>
    <cellStyle name="Note 2" xfId="39" xr:uid="{00000000-0005-0000-0000-00002A000000}"/>
    <cellStyle name="Output" xfId="40" builtinId="21" customBuiltin="1"/>
    <cellStyle name="Percent" xfId="41" builtinId="5"/>
    <cellStyle name="Title 2" xfId="42" xr:uid="{00000000-0005-0000-0000-00002D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0FC8E1"/>
      <color rgb="FFAD1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5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5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0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1.xml"/></Relationships>
</file>

<file path=xl/charts/_rels/chart6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6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6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6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6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7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0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7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8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0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1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2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4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5.xml"/></Relationships>
</file>

<file path=xl/charts/_rels/chart8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52122952804563"/>
          <c:y val="4.1725930231377301E-2"/>
          <c:w val="0.81797097023984489"/>
          <c:h val="0.84378074561877736"/>
        </c:manualLayout>
      </c:layout>
      <c:scatterChart>
        <c:scatterStyle val="lineMarker"/>
        <c:varyColors val="0"/>
        <c:ser>
          <c:idx val="0"/>
          <c:order val="0"/>
          <c:tx>
            <c:v>PMF</c:v>
          </c:tx>
          <c:spPr>
            <a:ln w="25400" cap="flat" cmpd="dbl" algn="ctr">
              <a:noFill/>
              <a:round/>
            </a:ln>
            <a:effectLst/>
          </c:spPr>
          <c:marker>
            <c:symbol val="star"/>
            <c:size val="4"/>
            <c:spPr>
              <a:noFill/>
              <a:ln w="25400" cap="flat" cmpd="dbl" algn="ctr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2700" cap="rnd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2968035750667898"/>
                  <c:y val="-0.318884599918592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0" i="0" u="none" strike="noStrike" kern="1200" cap="none" baseline="0">
                      <a:solidFill>
                        <a:schemeClr val="tx1"/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'PMF calculation'!$B$9:$B$27</c:f>
              <c:numCache>
                <c:formatCode>General</c:formatCode>
                <c:ptCount val="19"/>
                <c:pt idx="0">
                  <c:v>1300</c:v>
                </c:pt>
                <c:pt idx="1">
                  <c:v>1950</c:v>
                </c:pt>
                <c:pt idx="2">
                  <c:v>450</c:v>
                </c:pt>
                <c:pt idx="3">
                  <c:v>12560</c:v>
                </c:pt>
                <c:pt idx="4">
                  <c:v>8051</c:v>
                </c:pt>
                <c:pt idx="5">
                  <c:v>31773</c:v>
                </c:pt>
                <c:pt idx="6">
                  <c:v>550</c:v>
                </c:pt>
                <c:pt idx="7">
                  <c:v>1120</c:v>
                </c:pt>
                <c:pt idx="8">
                  <c:v>1400</c:v>
                </c:pt>
                <c:pt idx="9">
                  <c:v>2080</c:v>
                </c:pt>
                <c:pt idx="10">
                  <c:v>126</c:v>
                </c:pt>
                <c:pt idx="11">
                  <c:v>3850</c:v>
                </c:pt>
                <c:pt idx="12">
                  <c:v>31100</c:v>
                </c:pt>
                <c:pt idx="13">
                  <c:v>42725</c:v>
                </c:pt>
                <c:pt idx="14">
                  <c:v>3500</c:v>
                </c:pt>
                <c:pt idx="15">
                  <c:v>20700</c:v>
                </c:pt>
                <c:pt idx="16">
                  <c:v>21342</c:v>
                </c:pt>
                <c:pt idx="17">
                  <c:v>1336</c:v>
                </c:pt>
                <c:pt idx="18">
                  <c:v>737</c:v>
                </c:pt>
              </c:numCache>
            </c:numRef>
          </c:xVal>
          <c:yVal>
            <c:numRef>
              <c:f>'PMF calculation'!$D$9:$D$27</c:f>
              <c:numCache>
                <c:formatCode>0.00</c:formatCode>
                <c:ptCount val="19"/>
                <c:pt idx="0">
                  <c:v>2.6923076923076925</c:v>
                </c:pt>
                <c:pt idx="1">
                  <c:v>5.7435897435897436</c:v>
                </c:pt>
                <c:pt idx="2">
                  <c:v>13.897777777777778</c:v>
                </c:pt>
                <c:pt idx="3">
                  <c:v>2.6671974522292992</c:v>
                </c:pt>
                <c:pt idx="4">
                  <c:v>3.8308284685132281</c:v>
                </c:pt>
                <c:pt idx="5">
                  <c:v>1.3368268655776918</c:v>
                </c:pt>
                <c:pt idx="6">
                  <c:v>8</c:v>
                </c:pt>
                <c:pt idx="7">
                  <c:v>5.1785714285714288</c:v>
                </c:pt>
                <c:pt idx="8">
                  <c:v>5.7857142857142856</c:v>
                </c:pt>
                <c:pt idx="9">
                  <c:v>5.1923076923076925</c:v>
                </c:pt>
                <c:pt idx="10">
                  <c:v>19.603174603174605</c:v>
                </c:pt>
                <c:pt idx="11">
                  <c:v>3.1948051948051948</c:v>
                </c:pt>
                <c:pt idx="12">
                  <c:v>1.0610932475884245</c:v>
                </c:pt>
                <c:pt idx="13">
                  <c:v>1.4768870684610884</c:v>
                </c:pt>
                <c:pt idx="14">
                  <c:v>4.1714285714285717</c:v>
                </c:pt>
                <c:pt idx="15">
                  <c:v>1.1299033816425121</c:v>
                </c:pt>
                <c:pt idx="16">
                  <c:v>1.149283103739106</c:v>
                </c:pt>
                <c:pt idx="17">
                  <c:v>3.0538922155688621</c:v>
                </c:pt>
                <c:pt idx="18">
                  <c:v>4.0434192672998641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A-4DE6-ABB1-2DD0765D2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77152"/>
        <c:axId val="334177544"/>
      </c:scatterChart>
      <c:valAx>
        <c:axId val="33417715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rPr>
                  <a:t>Drainage Area (Km2)</a:t>
                </a:r>
              </a:p>
            </c:rich>
          </c:tx>
          <c:layout>
            <c:manualLayout>
              <c:xMode val="edge"/>
              <c:yMode val="edge"/>
              <c:x val="0.44123912796901965"/>
              <c:y val="0.94979562645647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50" b="0" i="0" u="none" strike="noStrike" kern="1200" cap="none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50" b="0" i="0" u="none" strike="noStrike" kern="1200" cap="none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34177544"/>
        <c:crossesAt val="0.1"/>
        <c:crossBetween val="midCat"/>
      </c:valAx>
      <c:valAx>
        <c:axId val="334177544"/>
        <c:scaling>
          <c:logBase val="10"/>
          <c:orientation val="minMax"/>
          <c:max val="1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50" b="0" i="0" u="none" strike="noStrike" kern="1200" cap="none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PMF/ Drainage Area (m3/s /  Km2)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50" b="0" i="0" u="none" strike="noStrike" kern="1200" cap="none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50" b="0" i="0" u="none" strike="noStrike" kern="1200" cap="none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3417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 algn="ctr" rtl="0">
        <a:defRPr lang="en-US" sz="1050" b="0" i="0" u="none" strike="noStrike" kern="1200" cap="none" baseline="0">
          <a:solidFill>
            <a:schemeClr val="tx1"/>
          </a:solidFill>
          <a:latin typeface="Gill Sans MT" panose="020B0502020104020203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analys'!$C$30:$L$30</c:f>
            </c:numRef>
          </c:yVal>
          <c:smooth val="0"/>
          <c:extLst>
            <c:ext xmlns:c16="http://schemas.microsoft.com/office/drawing/2014/chart" uri="{C3380CC4-5D6E-409C-BE32-E72D297353CC}">
              <c16:uniqueId val="{00000000-EF39-4ADC-B654-528F51184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04560"/>
        <c:axId val="112829216"/>
      </c:scatterChart>
      <c:valAx>
        <c:axId val="39440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9216"/>
        <c:crosses val="autoZero"/>
        <c:crossBetween val="midCat"/>
      </c:valAx>
      <c:valAx>
        <c:axId val="11282921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4045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57899171383"/>
          <c:y val="2.27920624966127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15286883960222"/>
          <c:y val="0.10502331044235912"/>
          <c:w val="0.79735709131976029"/>
          <c:h val="0.748615914654876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analys'!$A$29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7543227378573337E-2"/>
                  <c:y val="-6.527381826467833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analys'!$C$29:$L$29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4E93-40AA-9595-1E13F82F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5144"/>
        <c:axId val="338517104"/>
      </c:scatterChart>
      <c:valAx>
        <c:axId val="33851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7104"/>
        <c:crosses val="autoZero"/>
        <c:crossBetween val="midCat"/>
      </c:valAx>
      <c:valAx>
        <c:axId val="33851710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5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19244123716"/>
          <c:y val="0.12328815062500749"/>
          <c:w val="0.79805968253023229"/>
          <c:h val="0.67897189017175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2.0124809822501002E-2"/>
                  <c:y val="-8.1027543970796756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analys'!$C$28:$L$28</c:f>
            </c:numRef>
          </c:yVal>
          <c:smooth val="0"/>
          <c:extLst>
            <c:ext xmlns:c16="http://schemas.microsoft.com/office/drawing/2014/chart" uri="{C3380CC4-5D6E-409C-BE32-E72D297353CC}">
              <c16:uniqueId val="{00000000-3BAB-4517-9066-AAE7C51CF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90192"/>
        <c:axId val="383590584"/>
      </c:scatterChart>
      <c:valAx>
        <c:axId val="38359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584"/>
        <c:crosses val="autoZero"/>
        <c:crossBetween val="midCat"/>
      </c:valAx>
      <c:valAx>
        <c:axId val="383590584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1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61404673815"/>
          <c:y val="2.27920566532956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analys'!$A$56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2083317676396741"/>
                  <c:y val="-5.171633288604198E-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analys'!$C$56:$L$56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1-41FF-9AEF-40EE4781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7840"/>
        <c:axId val="383590976"/>
      </c:scatterChart>
      <c:valAx>
        <c:axId val="3835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0976"/>
        <c:crosses val="autoZero"/>
        <c:crossBetween val="midCat"/>
      </c:valAx>
      <c:valAx>
        <c:axId val="3835909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78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analys'!$C$55:$L$55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2-45D8-A244-5D155D64F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8624"/>
        <c:axId val="383587448"/>
      </c:scatterChart>
      <c:valAx>
        <c:axId val="38358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7448"/>
        <c:crosses val="autoZero"/>
        <c:crossBetween val="midCat"/>
      </c:valAx>
      <c:valAx>
        <c:axId val="38358744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86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33453180645714331"/>
                  <c:y val="-2.213164131182631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analys'!$C$82:$L$82</c:f>
              <c:numCache>
                <c:formatCode>0.00</c:formatCode>
                <c:ptCount val="10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4559-A677-060A1261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5880"/>
        <c:axId val="383586272"/>
      </c:scatterChart>
      <c:valAx>
        <c:axId val="383585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6272"/>
        <c:crosses val="autoZero"/>
        <c:crossBetween val="midCat"/>
      </c:valAx>
      <c:valAx>
        <c:axId val="38358627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8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7307584058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8.0881868878638907E-2"/>
                  <c:y val="0.26436685820843575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analys'!$C$81:$L$81</c:f>
              <c:numCache>
                <c:formatCode>0.00</c:formatCode>
                <c:ptCount val="10"/>
                <c:pt idx="0">
                  <c:v>44.344889420037198</c:v>
                </c:pt>
                <c:pt idx="1">
                  <c:v>47.403206648033475</c:v>
                </c:pt>
                <c:pt idx="2">
                  <c:v>59.4543501119458</c:v>
                </c:pt>
                <c:pt idx="3">
                  <c:v>67.856742666381422</c:v>
                </c:pt>
                <c:pt idx="4">
                  <c:v>74.906371941649638</c:v>
                </c:pt>
                <c:pt idx="5">
                  <c:v>82.836814689646829</c:v>
                </c:pt>
                <c:pt idx="6">
                  <c:v>88.059088017740635</c:v>
                </c:pt>
                <c:pt idx="7">
                  <c:v>92.755247904493885</c:v>
                </c:pt>
                <c:pt idx="8">
                  <c:v>98.298929341233631</c:v>
                </c:pt>
                <c:pt idx="9">
                  <c:v>102.06810674481247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9-4F0D-A392-1820EF727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9408"/>
        <c:axId val="383591368"/>
      </c:scatterChart>
      <c:valAx>
        <c:axId val="38358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1368"/>
        <c:crosses val="autoZero"/>
        <c:crossBetween val="midCat"/>
      </c:valAx>
      <c:valAx>
        <c:axId val="38359136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94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7267617652330439"/>
                  <c:y val="0.1940964758046021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analys'!$C$105:$L$105</c:f>
              <c:numCache>
                <c:formatCode>0.0</c:formatCode>
                <c:ptCount val="10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D-4D98-AAD9-61FDBCDB8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91760"/>
        <c:axId val="383592152"/>
      </c:scatterChart>
      <c:valAx>
        <c:axId val="38359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2152"/>
        <c:crosses val="autoZero"/>
        <c:crossBetween val="midCat"/>
      </c:valAx>
      <c:valAx>
        <c:axId val="3835921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917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analys'!$C$104:$L$104</c:f>
              <c:numCache>
                <c:formatCode>0.0</c:formatCode>
                <c:ptCount val="10"/>
                <c:pt idx="0">
                  <c:v>2798.584155022234</c:v>
                </c:pt>
                <c:pt idx="1">
                  <c:v>2964.5585453983908</c:v>
                </c:pt>
                <c:pt idx="2">
                  <c:v>3707.1927614848119</c:v>
                </c:pt>
                <c:pt idx="3">
                  <c:v>4334.4680606506599</c:v>
                </c:pt>
                <c:pt idx="4">
                  <c:v>4955.7672728051257</c:v>
                </c:pt>
                <c:pt idx="5">
                  <c:v>5793.0706203962409</c:v>
                </c:pt>
                <c:pt idx="6">
                  <c:v>6449.0721459088163</c:v>
                </c:pt>
                <c:pt idx="7">
                  <c:v>7130.5653035371224</c:v>
                </c:pt>
                <c:pt idx="8">
                  <c:v>8077.4973906914993</c:v>
                </c:pt>
                <c:pt idx="9">
                  <c:v>8833.080041107647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3-4E4B-A13D-664473B88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85096"/>
        <c:axId val="383585488"/>
      </c:scatterChart>
      <c:valAx>
        <c:axId val="38358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488"/>
        <c:crosses val="autoZero"/>
        <c:crossBetween val="midCat"/>
      </c:valAx>
      <c:valAx>
        <c:axId val="38358548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5850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4293293510724953"/>
                  <c:y val="-2.2804982404802741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analys'!$C$102:$L$102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analys'!$C$103:$L$103</c:f>
              <c:numCache>
                <c:formatCode>0.0</c:formatCode>
                <c:ptCount val="10"/>
                <c:pt idx="0">
                  <c:v>2843.0881875132391</c:v>
                </c:pt>
                <c:pt idx="1">
                  <c:v>3011.0224291771879</c:v>
                </c:pt>
                <c:pt idx="2">
                  <c:v>3728.5968585209721</c:v>
                </c:pt>
                <c:pt idx="3">
                  <c:v>4296.925608290333</c:v>
                </c:pt>
                <c:pt idx="4">
                  <c:v>4830.8568187083038</c:v>
                </c:pt>
                <c:pt idx="5">
                  <c:v>5511.3377307575402</c:v>
                </c:pt>
                <c:pt idx="6">
                  <c:v>6017.3405872898466</c:v>
                </c:pt>
                <c:pt idx="7">
                  <c:v>6520.9830150438675</c:v>
                </c:pt>
                <c:pt idx="8">
                  <c:v>7188.083843681321</c:v>
                </c:pt>
                <c:pt idx="9">
                  <c:v>7696.3169096009533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8-425C-ADA2-D04555B93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4528"/>
        <c:axId val="381064920"/>
      </c:scatterChart>
      <c:valAx>
        <c:axId val="38106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4920"/>
        <c:crosses val="autoZero"/>
        <c:crossBetween val="midCat"/>
      </c:valAx>
      <c:valAx>
        <c:axId val="38106492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45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analys'!$C$173:$L$173</c:f>
            </c:numRef>
          </c:yVal>
          <c:smooth val="0"/>
          <c:extLst>
            <c:ext xmlns:c16="http://schemas.microsoft.com/office/drawing/2014/chart" uri="{C3380CC4-5D6E-409C-BE32-E72D297353CC}">
              <c16:uniqueId val="{00000000-77D5-4727-9C0A-55AB47994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7272"/>
        <c:axId val="381069624"/>
      </c:scatterChart>
      <c:valAx>
        <c:axId val="38106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9624"/>
        <c:crosses val="autoZero"/>
        <c:crossBetween val="midCat"/>
      </c:valAx>
      <c:valAx>
        <c:axId val="38106962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7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20175118166615"/>
          <c:y val="0.10502331044235912"/>
          <c:w val="0.7577641660427979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analys'!$C$172:$L$172</c:f>
            </c:numRef>
          </c:yVal>
          <c:smooth val="0"/>
          <c:extLst>
            <c:ext xmlns:c16="http://schemas.microsoft.com/office/drawing/2014/chart" uri="{C3380CC4-5D6E-409C-BE32-E72D297353CC}">
              <c16:uniqueId val="{00000000-1C92-435B-A26E-512968049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3352"/>
        <c:axId val="381063744"/>
      </c:scatterChart>
      <c:valAx>
        <c:axId val="38106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3744"/>
        <c:crosses val="autoZero"/>
        <c:crossBetween val="midCat"/>
      </c:valAx>
      <c:valAx>
        <c:axId val="38106374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33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analys'!$C$170:$L$170</c:f>
            </c:numRef>
          </c:xVal>
          <c:yVal>
            <c:numRef>
              <c:f>'Regional flood frequency analys'!$C$171:$L$171</c:f>
            </c:numRef>
          </c:yVal>
          <c:smooth val="0"/>
          <c:extLst>
            <c:ext xmlns:c16="http://schemas.microsoft.com/office/drawing/2014/chart" uri="{C3380CC4-5D6E-409C-BE32-E72D297353CC}">
              <c16:uniqueId val="{00000000-5392-4FB8-A6BB-07A6D93D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5704"/>
        <c:axId val="381065312"/>
      </c:scatterChart>
      <c:valAx>
        <c:axId val="38106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5312"/>
        <c:crosses val="autoZero"/>
        <c:crossBetween val="midCat"/>
      </c:valAx>
      <c:valAx>
        <c:axId val="3810653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57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72348024544762"/>
          <c:y val="8.94764608955433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analys'!$C$128:$L$128</c:f>
              <c:numCache>
                <c:formatCode>0.00</c:formatCode>
                <c:ptCount val="10"/>
                <c:pt idx="0">
                  <c:v>1333.6379986843704</c:v>
                </c:pt>
                <c:pt idx="1">
                  <c:v>1373.2970216638953</c:v>
                </c:pt>
                <c:pt idx="2">
                  <c:v>1545.5938004055492</c:v>
                </c:pt>
                <c:pt idx="3">
                  <c:v>1685.92698402782</c:v>
                </c:pt>
                <c:pt idx="4">
                  <c:v>1820.5379429543755</c:v>
                </c:pt>
                <c:pt idx="5">
                  <c:v>1994.778021671088</c:v>
                </c:pt>
                <c:pt idx="6">
                  <c:v>2125.3464413823722</c:v>
                </c:pt>
                <c:pt idx="7">
                  <c:v>2255.4384388626427</c:v>
                </c:pt>
                <c:pt idx="8">
                  <c:v>2427.0701270491995</c:v>
                </c:pt>
                <c:pt idx="9">
                  <c:v>2556.7852903027942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1-45F1-A926-240FCB33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7664"/>
        <c:axId val="381066096"/>
      </c:scatterChart>
      <c:valAx>
        <c:axId val="38106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6096"/>
        <c:crosses val="autoZero"/>
        <c:crossBetween val="midCat"/>
      </c:valAx>
      <c:valAx>
        <c:axId val="38106609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7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51556160229952"/>
          <c:y val="0.10502331044235912"/>
          <c:w val="0.745449879941460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analys'!$C$127:$L$127</c:f>
              <c:numCache>
                <c:formatCode>0.0</c:formatCode>
                <c:ptCount val="10"/>
                <c:pt idx="0">
                  <c:v>1370.9925128635991</c:v>
                </c:pt>
                <c:pt idx="1">
                  <c:v>1414.683721109458</c:v>
                </c:pt>
                <c:pt idx="2">
                  <c:v>1578.2140854157904</c:v>
                </c:pt>
                <c:pt idx="3">
                  <c:v>1686.4433483883608</c:v>
                </c:pt>
                <c:pt idx="4">
                  <c:v>1774.9282537674003</c:v>
                </c:pt>
                <c:pt idx="5">
                  <c:v>1872.9554232804892</c:v>
                </c:pt>
                <c:pt idx="6">
                  <c:v>1937.1025211702602</c:v>
                </c:pt>
                <c:pt idx="7">
                  <c:v>1994.7951853780989</c:v>
                </c:pt>
                <c:pt idx="8">
                  <c:v>2063.2279532432244</c:v>
                </c:pt>
                <c:pt idx="9">
                  <c:v>2110.1564854491958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F9-4C99-93EF-AC584BA6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6488"/>
        <c:axId val="381068840"/>
      </c:scatterChart>
      <c:valAx>
        <c:axId val="38106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8840"/>
        <c:crosses val="autoZero"/>
        <c:crossBetween val="midCat"/>
      </c:valAx>
      <c:valAx>
        <c:axId val="3810688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64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analys'!$C$125:$L$125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analys'!$C$126:$L$126</c:f>
              <c:numCache>
                <c:formatCode>0.0</c:formatCode>
                <c:ptCount val="10"/>
                <c:pt idx="0">
                  <c:v>1352.3130563300926</c:v>
                </c:pt>
                <c:pt idx="1">
                  <c:v>1396.5360814671876</c:v>
                </c:pt>
                <c:pt idx="2">
                  <c:v>1574.3583134793946</c:v>
                </c:pt>
                <c:pt idx="3">
                  <c:v>1704.7088299448419</c:v>
                </c:pt>
                <c:pt idx="4">
                  <c:v>1820.4192485747451</c:v>
                </c:pt>
                <c:pt idx="5">
                  <c:v>1960.0285482679385</c:v>
                </c:pt>
                <c:pt idx="6">
                  <c:v>2058.979777402631</c:v>
                </c:pt>
                <c:pt idx="7">
                  <c:v>2153.9002002338152</c:v>
                </c:pt>
                <c:pt idx="8">
                  <c:v>2274.8020077592519</c:v>
                </c:pt>
                <c:pt idx="9">
                  <c:v>2363.6312901426136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A-4E83-98C2-03A32CD21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62568"/>
        <c:axId val="259811440"/>
      </c:scatterChart>
      <c:valAx>
        <c:axId val="381062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1440"/>
        <c:crosses val="autoZero"/>
        <c:crossBetween val="midCat"/>
      </c:valAx>
      <c:valAx>
        <c:axId val="2598114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0625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analys'!$A$80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analys'!$C$79:$L$79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analys'!$C$80:$L$80</c:f>
              <c:numCache>
                <c:formatCode>0.00</c:formatCode>
                <c:ptCount val="10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93-4DBC-9C0A-46C079372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3400"/>
        <c:axId val="259813008"/>
      </c:scatterChart>
      <c:valAx>
        <c:axId val="25981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3008"/>
        <c:crosses val="autoZero"/>
        <c:crossBetween val="midCat"/>
      </c:valAx>
      <c:valAx>
        <c:axId val="25981300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3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analys'!$C$54:$L$54</c:f>
              <c:numCache>
                <c:formatCode>General</c:formatCode>
                <c:ptCount val="10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'Regional flood frequency analys'!$C$57:$L$57</c:f>
              <c:numCache>
                <c:formatCode>0.0</c:formatCode>
                <c:ptCount val="10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D-4344-B7AB-89818F759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4184"/>
        <c:axId val="259812224"/>
      </c:scatterChart>
      <c:valAx>
        <c:axId val="25981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2224"/>
        <c:crosses val="autoZero"/>
        <c:crossBetween val="midCat"/>
      </c:valAx>
      <c:valAx>
        <c:axId val="25981222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41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200"/>
            </a:pPr>
            <a:r>
              <a:rPr lang="en-US" sz="1200"/>
              <a:t>Mean Annual Flood (Q2.33) vs Catcment Area </a:t>
            </a:r>
          </a:p>
        </c:rich>
      </c:tx>
      <c:layout>
        <c:manualLayout>
          <c:xMode val="edge"/>
          <c:yMode val="edge"/>
          <c:x val="0.21943000633722989"/>
          <c:y val="7.29762630538719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45402126790312"/>
          <c:y val="5.9200367926562289E-2"/>
          <c:w val="0.80776969861373238"/>
          <c:h val="0.7988210383715004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analys'!$E$272</c:f>
              <c:strCache>
                <c:ptCount val="1"/>
                <c:pt idx="0">
                  <c:v>Q2.33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4997780339446264E-2"/>
                  <c:y val="4.0834753476913579E-2"/>
                </c:manualLayout>
              </c:layout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flood frequency analys'!$C$274:$C$277</c:f>
              <c:numCache>
                <c:formatCode>0.0</c:formatCode>
                <c:ptCount val="4"/>
                <c:pt idx="0">
                  <c:v>16396.2</c:v>
                </c:pt>
                <c:pt idx="1">
                  <c:v>391.36</c:v>
                </c:pt>
                <c:pt idx="2">
                  <c:v>148.13999999999999</c:v>
                </c:pt>
                <c:pt idx="3">
                  <c:v>17849.7</c:v>
                </c:pt>
              </c:numCache>
            </c:numRef>
          </c:xVal>
          <c:yVal>
            <c:numRef>
              <c:f>'Regional flood frequency analys'!$E$274:$E$277</c:f>
              <c:numCache>
                <c:formatCode>0.0</c:formatCode>
                <c:ptCount val="4"/>
                <c:pt idx="0">
                  <c:v>1373.2970216638953</c:v>
                </c:pt>
                <c:pt idx="1">
                  <c:v>0</c:v>
                </c:pt>
                <c:pt idx="2">
                  <c:v>45.59637317870736</c:v>
                </c:pt>
                <c:pt idx="3">
                  <c:v>2964.5585453983908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B-41BD-9A5D-21C2CF46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9088"/>
        <c:axId val="259798896"/>
      </c:scatterChart>
      <c:valAx>
        <c:axId val="25980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Catchment Area, km</a:t>
                </a:r>
                <a:r>
                  <a:rPr lang="en-US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798896"/>
        <c:crosses val="autoZero"/>
        <c:crossBetween val="midCat"/>
      </c:valAx>
      <c:valAx>
        <c:axId val="259798896"/>
        <c:scaling>
          <c:orientation val="minMax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Annual Flood, m</a:t>
                </a:r>
                <a:r>
                  <a:rPr lang="en-US" baseline="30000"/>
                  <a:t>3</a:t>
                </a:r>
                <a:r>
                  <a:rPr lang="en-US"/>
                  <a:t>/s</a:t>
                </a:r>
              </a:p>
            </c:rich>
          </c:tx>
          <c:layout>
            <c:manualLayout>
              <c:xMode val="edge"/>
              <c:yMode val="edge"/>
              <c:x val="8.5700982346217924E-3"/>
              <c:y val="0.16483429188257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9088"/>
        <c:crosses val="autoZero"/>
        <c:crossBetween val="midCat"/>
      </c:valAx>
      <c:spPr>
        <a:noFill/>
        <a:ln>
          <a:solidFill>
            <a:schemeClr val="tx1">
              <a:lumMod val="85000"/>
              <a:lumOff val="1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analys'!$C$196:$L$196</c:f>
            </c:numRef>
          </c:yVal>
          <c:smooth val="0"/>
          <c:extLst>
            <c:ext xmlns:c16="http://schemas.microsoft.com/office/drawing/2014/chart" uri="{C3380CC4-5D6E-409C-BE32-E72D297353CC}">
              <c16:uniqueId val="{00000000-0673-4F8C-B646-BBBB39788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98504"/>
        <c:axId val="259804776"/>
      </c:scatterChart>
      <c:valAx>
        <c:axId val="259798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4776"/>
        <c:crosses val="autoZero"/>
        <c:crossBetween val="midCat"/>
      </c:valAx>
      <c:valAx>
        <c:axId val="2598047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7985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analys'!$C$195:$L$195</c:f>
            </c:numRef>
          </c:yVal>
          <c:smooth val="0"/>
          <c:extLst>
            <c:ext xmlns:c16="http://schemas.microsoft.com/office/drawing/2014/chart" uri="{C3380CC4-5D6E-409C-BE32-E72D297353CC}">
              <c16:uniqueId val="{00000000-5248-460E-94DA-4E0D370A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912"/>
        <c:axId val="259801248"/>
      </c:scatterChart>
      <c:valAx>
        <c:axId val="259807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1248"/>
        <c:crosses val="autoZero"/>
        <c:crossBetween val="midCat"/>
      </c:valAx>
      <c:valAx>
        <c:axId val="25980124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9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analys'!$C$193:$L$193</c:f>
            </c:numRef>
          </c:xVal>
          <c:yVal>
            <c:numRef>
              <c:f>'Regional flood frequency analys'!$C$194:$L$194</c:f>
            </c:numRef>
          </c:yVal>
          <c:smooth val="0"/>
          <c:extLst>
            <c:ext xmlns:c16="http://schemas.microsoft.com/office/drawing/2014/chart" uri="{C3380CC4-5D6E-409C-BE32-E72D297353CC}">
              <c16:uniqueId val="{00000000-586D-44C0-B728-F6F96EC5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128"/>
        <c:axId val="259803208"/>
      </c:scatterChart>
      <c:valAx>
        <c:axId val="25980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208"/>
        <c:crosses val="autoZero"/>
        <c:crossBetween val="midCat"/>
      </c:valAx>
      <c:valAx>
        <c:axId val="25980320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1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analys'!$C$150:$L$150</c:f>
            </c:numRef>
          </c:yVal>
          <c:smooth val="0"/>
          <c:extLst>
            <c:ext xmlns:c16="http://schemas.microsoft.com/office/drawing/2014/chart" uri="{C3380CC4-5D6E-409C-BE32-E72D297353CC}">
              <c16:uniqueId val="{00000000-6484-4B63-9B6C-B04820C2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5168"/>
        <c:axId val="259804384"/>
      </c:scatterChart>
      <c:valAx>
        <c:axId val="25980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4384"/>
        <c:crosses val="autoZero"/>
        <c:crossBetween val="midCat"/>
      </c:valAx>
      <c:valAx>
        <c:axId val="25980438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51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14636397662982"/>
          <c:y val="0.10502331044235912"/>
          <c:w val="0.7568192219251687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analys'!$A$81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analys'!$C$149:$L$149</c:f>
            </c:numRef>
          </c:yVal>
          <c:smooth val="0"/>
          <c:extLst>
            <c:ext xmlns:c16="http://schemas.microsoft.com/office/drawing/2014/chart" uri="{C3380CC4-5D6E-409C-BE32-E72D297353CC}">
              <c16:uniqueId val="{00000000-A0EA-4B22-B80D-B249DB55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7520"/>
        <c:axId val="259803600"/>
      </c:scatterChart>
      <c:valAx>
        <c:axId val="25980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600"/>
        <c:crosses val="autoZero"/>
        <c:crossBetween val="midCat"/>
      </c:valAx>
      <c:valAx>
        <c:axId val="2598036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75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analys'!$A$55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analys'!$C$147:$L$147</c:f>
            </c:numRef>
          </c:xVal>
          <c:yVal>
            <c:numRef>
              <c:f>'Regional flood frequency analys'!$C$148:$L$148</c:f>
            </c:numRef>
          </c:yVal>
          <c:smooth val="0"/>
          <c:extLst>
            <c:ext xmlns:c16="http://schemas.microsoft.com/office/drawing/2014/chart" uri="{C3380CC4-5D6E-409C-BE32-E72D297353CC}">
              <c16:uniqueId val="{00000000-42F5-4B44-B9BA-C2E20EA7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6736"/>
        <c:axId val="259805952"/>
      </c:scatterChart>
      <c:valAx>
        <c:axId val="25980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5952"/>
        <c:crosses val="autoZero"/>
        <c:crossBetween val="midCat"/>
      </c:valAx>
      <c:valAx>
        <c:axId val="2598059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67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200"/>
            </a:pPr>
            <a:r>
              <a:rPr lang="en-US" sz="1200"/>
              <a:t>Median Flood</a:t>
            </a:r>
            <a:r>
              <a:rPr lang="en-US" sz="1200" baseline="0"/>
              <a:t> Ratio</a:t>
            </a:r>
            <a:r>
              <a:rPr lang="en-US" sz="1200"/>
              <a:t> vs. Return Period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643870000290861"/>
          <c:y val="0.13196555326206746"/>
          <c:w val="0.83787977536925862"/>
          <c:h val="0.775782314821266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22225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43654053150242"/>
                  <c:y val="3.5688252533172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analys'!$B$294:$L$294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B-400B-91DF-930F32DAC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99680"/>
        <c:axId val="259808304"/>
      </c:scatterChart>
      <c:valAx>
        <c:axId val="2597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Return Period</a:t>
                </a:r>
              </a:p>
            </c:rich>
          </c:tx>
          <c:layout>
            <c:manualLayout>
              <c:xMode val="edge"/>
              <c:yMode val="edge"/>
              <c:x val="0.47467496302297046"/>
              <c:y val="0.93252651383178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8304"/>
        <c:crosses val="autoZero"/>
        <c:crossBetween val="midCat"/>
      </c:valAx>
      <c:valAx>
        <c:axId val="2598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Median Flood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799680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>
          <a:latin typeface="Gill Sans MT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Median Flood Ratio vs. Return Period</a:t>
            </a:r>
          </a:p>
        </c:rich>
      </c:tx>
      <c:layout>
        <c:manualLayout>
          <c:xMode val="edge"/>
          <c:yMode val="edge"/>
          <c:x val="0.25069282139809601"/>
          <c:y val="1.24223642987118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44799180482645"/>
          <c:y val="8.9381092499136977E-2"/>
          <c:w val="0.81281687846973072"/>
          <c:h val="0.76469284763204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analys'!$A$289</c:f>
              <c:strCache>
                <c:ptCount val="1"/>
                <c:pt idx="0">
                  <c:v>Median Flood Ratio (MFR)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8"/>
            <c:spPr>
              <a:solidFill>
                <a:schemeClr val="bg1"/>
              </a:solidFill>
              <a:ln w="6350">
                <a:solidFill>
                  <a:schemeClr val="tx1"/>
                </a:solidFill>
              </a:ln>
            </c:spPr>
          </c:marker>
          <c:trendline>
            <c:spPr>
              <a:ln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analys'!$B$294:$L$294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7-45A4-9380-14EA7ECC8116}"/>
            </c:ext>
          </c:extLst>
        </c:ser>
        <c:ser>
          <c:idx val="1"/>
          <c:order val="1"/>
          <c:tx>
            <c:strRef>
              <c:f>'Regional flood frequency analys'!$A$295</c:f>
              <c:strCache>
                <c:ptCount val="1"/>
                <c:pt idx="0">
                  <c:v>Uwa Gaon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analys'!$B$295:$L$295</c:f>
              <c:numCache>
                <c:formatCode>0.00</c:formatCode>
                <c:ptCount val="11"/>
                <c:pt idx="0">
                  <c:v>-1.2726517049813185E-2</c:v>
                </c:pt>
                <c:pt idx="1">
                  <c:v>5.1330888875790161E-2</c:v>
                </c:pt>
                <c:pt idx="2">
                  <c:v>8.9074283612188207E-2</c:v>
                </c:pt>
                <c:pt idx="3">
                  <c:v>0.12243525658072565</c:v>
                </c:pt>
                <c:pt idx="4">
                  <c:v>0.16213009636276909</c:v>
                </c:pt>
                <c:pt idx="5">
                  <c:v>0.18966525399995504</c:v>
                </c:pt>
                <c:pt idx="6">
                  <c:v>0.21546649954794936</c:v>
                </c:pt>
                <c:pt idx="7">
                  <c:v>0.24731784670725451</c:v>
                </c:pt>
                <c:pt idx="8">
                  <c:v>0.2699297808752803</c:v>
                </c:pt>
                <c:pt idx="9">
                  <c:v>0.31827222187169057</c:v>
                </c:pt>
                <c:pt idx="10">
                  <c:v>0.33753804680793353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B7-45A4-9380-14EA7ECC8116}"/>
            </c:ext>
          </c:extLst>
        </c:ser>
        <c:ser>
          <c:idx val="2"/>
          <c:order val="2"/>
          <c:tx>
            <c:strRef>
              <c:f>'Regional flood frequency analys'!$A$296</c:f>
              <c:strCache>
                <c:ptCount val="1"/>
                <c:pt idx="0">
                  <c:v>Sabhaya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analys'!$B$296:$L$296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B7-45A4-9380-14EA7ECC8116}"/>
            </c:ext>
          </c:extLst>
        </c:ser>
        <c:ser>
          <c:idx val="3"/>
          <c:order val="3"/>
          <c:tx>
            <c:strRef>
              <c:f>'Regional flood frequency analys'!$A$297</c:f>
              <c:strCache>
                <c:ptCount val="1"/>
                <c:pt idx="0">
                  <c:v>Hinwa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analys'!$B$297:$L$297</c:f>
              <c:numCache>
                <c:formatCode>0.00</c:formatCode>
                <c:ptCount val="11"/>
                <c:pt idx="0">
                  <c:v>-2.6079050728915653E-2</c:v>
                </c:pt>
                <c:pt idx="1">
                  <c:v>9.8021323149821232E-2</c:v>
                </c:pt>
                <c:pt idx="2">
                  <c:v>0.16418403386648395</c:v>
                </c:pt>
                <c:pt idx="3">
                  <c:v>0.21938886820415571</c:v>
                </c:pt>
                <c:pt idx="4">
                  <c:v>0.28178573457764705</c:v>
                </c:pt>
                <c:pt idx="5">
                  <c:v>0.32329162099432301</c:v>
                </c:pt>
                <c:pt idx="6">
                  <c:v>0.36104210250320673</c:v>
                </c:pt>
                <c:pt idx="7">
                  <c:v>0.40630109301708822</c:v>
                </c:pt>
                <c:pt idx="8">
                  <c:v>0.43762730578077313</c:v>
                </c:pt>
                <c:pt idx="9">
                  <c:v>0.50265003540895214</c:v>
                </c:pt>
                <c:pt idx="10">
                  <c:v>0.52790491754953495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B7-45A4-9380-14EA7ECC8116}"/>
            </c:ext>
          </c:extLst>
        </c:ser>
        <c:ser>
          <c:idx val="4"/>
          <c:order val="4"/>
          <c:tx>
            <c:strRef>
              <c:f>'Regional flood frequency analys'!$A$298</c:f>
              <c:strCache>
                <c:ptCount val="1"/>
                <c:pt idx="0">
                  <c:v>Turkeghat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'Regional flood frequency analys'!$B$293:$L$293</c:f>
              <c:numCache>
                <c:formatCode>0.0</c:formatCode>
                <c:ptCount val="11"/>
                <c:pt idx="0">
                  <c:v>0.3010299956639812</c:v>
                </c:pt>
                <c:pt idx="1">
                  <c:v>0.69897000433601886</c:v>
                </c:pt>
                <c:pt idx="2">
                  <c:v>1</c:v>
                </c:pt>
                <c:pt idx="3">
                  <c:v>1.3010299956639813</c:v>
                </c:pt>
                <c:pt idx="4">
                  <c:v>1.6989700043360187</c:v>
                </c:pt>
                <c:pt idx="5">
                  <c:v>2</c:v>
                </c:pt>
                <c:pt idx="6">
                  <c:v>2.3010299956639813</c:v>
                </c:pt>
                <c:pt idx="7">
                  <c:v>2.6989700043360187</c:v>
                </c:pt>
                <c:pt idx="8">
                  <c:v>3</c:v>
                </c:pt>
                <c:pt idx="9">
                  <c:v>3.6989700043360187</c:v>
                </c:pt>
                <c:pt idx="10">
                  <c:v>4</c:v>
                </c:pt>
              </c:numCache>
            </c:numRef>
          </c:xVal>
          <c:yVal>
            <c:numRef>
              <c:f>'Regional flood frequency analys'!$B$298:$L$298</c:f>
              <c:numCache>
                <c:formatCode>0.00</c:formatCode>
                <c:ptCount val="11"/>
                <c:pt idx="0">
                  <c:v>-2.5021660481035646E-2</c:v>
                </c:pt>
                <c:pt idx="1">
                  <c:v>9.7085137057832047E-2</c:v>
                </c:pt>
                <c:pt idx="2">
                  <c:v>0.16497577571507541</c:v>
                </c:pt>
                <c:pt idx="3">
                  <c:v>0.22315087192861516</c:v>
                </c:pt>
                <c:pt idx="4">
                  <c:v>0.29094879139288043</c:v>
                </c:pt>
                <c:pt idx="5">
                  <c:v>0.33753720402323595</c:v>
                </c:pt>
                <c:pt idx="6">
                  <c:v>0.38116393021250572</c:v>
                </c:pt>
                <c:pt idx="7">
                  <c:v>0.43531679499470927</c:v>
                </c:pt>
                <c:pt idx="8">
                  <c:v>0.47415213441870679</c:v>
                </c:pt>
                <c:pt idx="9">
                  <c:v>0.55888562916543871</c:v>
                </c:pt>
                <c:pt idx="10">
                  <c:v>0.59349014699101488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B7-45A4-9380-14EA7ECC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0072"/>
        <c:axId val="259800464"/>
      </c:scatterChart>
      <c:valAx>
        <c:axId val="259800072"/>
        <c:scaling>
          <c:orientation val="minMax"/>
          <c:max val="4.0999999999999996"/>
          <c:min val="0.2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Return Period</a:t>
                </a:r>
              </a:p>
            </c:rich>
          </c:tx>
          <c:layout>
            <c:manualLayout>
              <c:xMode val="edge"/>
              <c:yMode val="edge"/>
              <c:x val="0.47467496302297046"/>
              <c:y val="0.93252651383178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0464"/>
        <c:crosses val="autoZero"/>
        <c:crossBetween val="midCat"/>
        <c:majorUnit val="0.4"/>
        <c:minorUnit val="3.0000000000000006E-2"/>
      </c:valAx>
      <c:valAx>
        <c:axId val="259800464"/>
        <c:scaling>
          <c:orientation val="minMax"/>
          <c:max val="1.3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Median Flood Ratio of all stations</a:t>
                </a:r>
              </a:p>
            </c:rich>
          </c:tx>
          <c:layout>
            <c:manualLayout>
              <c:xMode val="edge"/>
              <c:yMode val="edge"/>
              <c:x val="1.4891411418906904E-2"/>
              <c:y val="8.910755675373566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59800072"/>
        <c:crosses val="autoZero"/>
        <c:crossBetween val="midCat"/>
        <c:majorUnit val="0.2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743982640543319"/>
          <c:y val="9.6362500616441735E-2"/>
          <c:w val="0.33728654468320807"/>
          <c:h val="0.15937951071624071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latin typeface="Gill Sans MT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analys'!$A$224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analysis'!$B$197:$N$197</c:f>
            </c:numRef>
          </c:xVal>
          <c:yVal>
            <c:numRef>
              <c:f>'Regional regression analysis'!$C$200:$N$200</c:f>
            </c:numRef>
          </c:yVal>
          <c:smooth val="0"/>
          <c:extLst>
            <c:ext xmlns:c16="http://schemas.microsoft.com/office/drawing/2014/chart" uri="{C3380CC4-5D6E-409C-BE32-E72D297353CC}">
              <c16:uniqueId val="{00000000-174C-4A2A-A604-E19517B60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analys'!$A$223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analys'!$B$221:$N$221</c:f>
            </c:numRef>
          </c:xVal>
          <c:yVal>
            <c:numRef>
              <c:f>'Regional flood frequency analys'!$B$223:$N$223</c:f>
            </c:numRef>
          </c:yVal>
          <c:smooth val="0"/>
          <c:extLst>
            <c:ext xmlns:c16="http://schemas.microsoft.com/office/drawing/2014/chart" uri="{C3380CC4-5D6E-409C-BE32-E72D297353CC}">
              <c16:uniqueId val="{00000000-D499-4E92-A774-BC80B8591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analys'!$A$222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analys'!$B$221:$N$221</c:f>
            </c:numRef>
          </c:xVal>
          <c:yVal>
            <c:numRef>
              <c:f>'Regional flood frequency analys'!$B$222:$N$222</c:f>
            </c:numRef>
          </c:yVal>
          <c:smooth val="0"/>
          <c:extLst>
            <c:ext xmlns:c16="http://schemas.microsoft.com/office/drawing/2014/chart" uri="{C3380CC4-5D6E-409C-BE32-E72D297353CC}">
              <c16:uniqueId val="{00000000-3318-4ABE-AE25-F579561EB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'!$A$14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6503957733961952"/>
                  <c:y val="0.24208735154633138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'!$C$14:$N$14</c:f>
              <c:numCache>
                <c:formatCode>0.0</c:formatCode>
                <c:ptCount val="12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  <c:pt idx="10">
                  <c:v>1127.2375727637177</c:v>
                </c:pt>
                <c:pt idx="11">
                  <c:v>1206.365593683664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6-4639-A619-58D8B02E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78328"/>
        <c:axId val="112830000"/>
      </c:scatterChart>
      <c:valAx>
        <c:axId val="33417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30000"/>
        <c:crosses val="autoZero"/>
        <c:crossBetween val="midCat"/>
      </c:valAx>
      <c:valAx>
        <c:axId val="1128300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1783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'!$A$12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6290160781173785"/>
                  <c:y val="0.25282547966296759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'!$C$12:$N$12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A-41D3-815F-4C387F7A5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7648"/>
        <c:axId val="112828040"/>
      </c:scatterChart>
      <c:valAx>
        <c:axId val="1128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8040"/>
        <c:crosses val="autoZero"/>
        <c:crossBetween val="midCat"/>
      </c:valAx>
      <c:valAx>
        <c:axId val="11282804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8276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'!$A$13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9739656726408253"/>
                  <c:y val="0.29881639268610555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'!$C$13:$N$13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E-4885-8B6E-5F7041A94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6320"/>
        <c:axId val="338516712"/>
      </c:scatterChart>
      <c:valAx>
        <c:axId val="33851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6712"/>
        <c:crosses val="autoZero"/>
        <c:crossBetween val="midCat"/>
      </c:valAx>
      <c:valAx>
        <c:axId val="3385167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6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'!$C$38:$N$38</c:f>
              <c:numCache>
                <c:formatCode>0.00</c:formatCode>
                <c:ptCount val="12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  <c:pt idx="10">
                  <c:v>145.07090984959029</c:v>
                </c:pt>
                <c:pt idx="11">
                  <c:v>153.75711337504814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2-494D-A0AE-5DB18064A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48037039500348"/>
          <c:y val="7.756145440295141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1354547764063821E-2"/>
                  <c:y val="0.36693907371108958"/>
                </c:manualLayout>
              </c:layout>
              <c:numFmt formatCode="General" sourceLinked="0"/>
            </c:trendlineLbl>
          </c:trendline>
          <c:xVal>
            <c:numRef>
              <c:f>'CAR FFA '!$C$11:$N$11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'!$C$36:$N$36</c:f>
              <c:numCache>
                <c:formatCode>_(* #,##0.00_);_(* \(#,##0.00\);_(* "-"??_);_(@_)</c:formatCode>
                <c:ptCount val="12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  <c:pt idx="10">
                  <c:v>169.53026550489457</c:v>
                </c:pt>
                <c:pt idx="11">
                  <c:v>181.78886327982059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454B-9E6B-85A1E380A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'!$B$11:$N$11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'!$B$37:$N$37</c:f>
              <c:numCache>
                <c:formatCode>_(* #,##0.00_);_(* \(#,##0.00\);_(* "-"??_);_(@_)</c:formatCode>
                <c:ptCount val="13"/>
                <c:pt idx="0">
                  <c:v>12.825804868029152</c:v>
                </c:pt>
                <c:pt idx="1">
                  <c:v>44.344889420037198</c:v>
                </c:pt>
                <c:pt idx="2">
                  <c:v>47.403206648033475</c:v>
                </c:pt>
                <c:pt idx="3">
                  <c:v>59.4543501119458</c:v>
                </c:pt>
                <c:pt idx="4">
                  <c:v>67.856742666381422</c:v>
                </c:pt>
                <c:pt idx="5">
                  <c:v>74.906371941649638</c:v>
                </c:pt>
                <c:pt idx="6">
                  <c:v>82.836814689646829</c:v>
                </c:pt>
                <c:pt idx="7">
                  <c:v>88.059088017740635</c:v>
                </c:pt>
                <c:pt idx="8">
                  <c:v>92.755247904493885</c:v>
                </c:pt>
                <c:pt idx="9">
                  <c:v>98.298929341233631</c:v>
                </c:pt>
                <c:pt idx="10">
                  <c:v>102.06810674481247</c:v>
                </c:pt>
                <c:pt idx="11">
                  <c:v>109.66579975735466</c:v>
                </c:pt>
                <c:pt idx="12">
                  <c:v>112.51686246532758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64-4AF9-8524-C9A75E52F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D19A6"/>
              </a:solidFill>
              <a:ln w="9525">
                <a:solidFill>
                  <a:srgbClr val="AD19A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FC8E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2051837270341207E-2"/>
                  <c:y val="-0.3962332312627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 FFA '!$C$115:$N$115</c:f>
              <c:numCache>
                <c:formatCode>0.00%</c:formatCode>
                <c:ptCount val="12"/>
                <c:pt idx="0">
                  <c:v>0.5</c:v>
                </c:pt>
                <c:pt idx="1">
                  <c:v>0.42918454935622319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  <c:pt idx="5">
                  <c:v>0.02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2.0000000000000001E-4</c:v>
                </c:pt>
                <c:pt idx="11">
                  <c:v>1E-4</c:v>
                </c:pt>
              </c:numCache>
            </c:numRef>
          </c:xVal>
          <c:yVal>
            <c:numRef>
              <c:f>'CAR FFA '!$C$118:$N$118</c:f>
              <c:numCache>
                <c:formatCode>_(* #,##0.00_);_(* \(#,##0.00\);_(* "-"??_);_(@_)</c:formatCode>
                <c:ptCount val="12"/>
                <c:pt idx="0">
                  <c:v>2.2312337690077579</c:v>
                </c:pt>
                <c:pt idx="1">
                  <c:v>2.3693222068483721</c:v>
                </c:pt>
                <c:pt idx="2">
                  <c:v>2.9692409954097654</c:v>
                </c:pt>
                <c:pt idx="3">
                  <c:v>3.4578659954155437</c:v>
                </c:pt>
                <c:pt idx="4">
                  <c:v>3.9265668265981937</c:v>
                </c:pt>
                <c:pt idx="5">
                  <c:v>4.5332519759433634</c:v>
                </c:pt>
                <c:pt idx="6">
                  <c:v>4.9878771218668385</c:v>
                </c:pt>
                <c:pt idx="7">
                  <c:v>5.4408434169994813</c:v>
                </c:pt>
                <c:pt idx="8">
                  <c:v>6.0384464320274889</c:v>
                </c:pt>
                <c:pt idx="9">
                  <c:v>6.4901006310524343</c:v>
                </c:pt>
                <c:pt idx="10">
                  <c:v>7.5383129032473821</c:v>
                </c:pt>
                <c:pt idx="11">
                  <c:v>7.9896736907690213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C-444F-8DCE-9D0E8E802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09656"/>
        <c:axId val="394407304"/>
      </c:scatterChart>
      <c:valAx>
        <c:axId val="39440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Probabiulity of Exceedance,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94407304"/>
        <c:crosses val="autoZero"/>
        <c:crossBetween val="midCat"/>
      </c:valAx>
      <c:valAx>
        <c:axId val="394407304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Flood Discharge, m3/s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394409656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Gill Sans MT" panose="020B05020201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'!$C$59:$N$59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'!$C$62:$N$62</c:f>
              <c:numCache>
                <c:formatCode>_(* #,##0.00_);_(* \(#,##0.00\);_(* "-"??_);_(@_)</c:formatCode>
                <c:ptCount val="12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  <c:pt idx="10">
                  <c:v>9357.851177561377</c:v>
                </c:pt>
                <c:pt idx="11">
                  <c:v>9913.4316105652633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A-4CF3-AD54-42286E08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48037039500348"/>
          <c:y val="7.756145440295141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'!$B$60:$N$60</c:f>
              <c:numCache>
                <c:formatCode>_(* #,##0.00_);_(* \(#,##0.00\);_(* "-"??_);_(@_)</c:formatCode>
                <c:ptCount val="13"/>
                <c:pt idx="0">
                  <c:v>1264.0411211807627</c:v>
                </c:pt>
                <c:pt idx="1">
                  <c:v>2843.0881875132391</c:v>
                </c:pt>
                <c:pt idx="2">
                  <c:v>3011.0224291771879</c:v>
                </c:pt>
                <c:pt idx="3">
                  <c:v>3728.5968585209721</c:v>
                </c:pt>
                <c:pt idx="4">
                  <c:v>4296.925608290333</c:v>
                </c:pt>
                <c:pt idx="5">
                  <c:v>4830.8568187083038</c:v>
                </c:pt>
                <c:pt idx="6">
                  <c:v>5511.3377307575402</c:v>
                </c:pt>
                <c:pt idx="7">
                  <c:v>6017.3405872898466</c:v>
                </c:pt>
                <c:pt idx="8">
                  <c:v>6520.9830150438675</c:v>
                </c:pt>
                <c:pt idx="9">
                  <c:v>7188.083843681321</c:v>
                </c:pt>
                <c:pt idx="10">
                  <c:v>7696.3169096009533</c:v>
                </c:pt>
                <c:pt idx="11">
                  <c:v>8896.4682934901903</c:v>
                </c:pt>
                <c:pt idx="12">
                  <c:v>9424.3259575007178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4-4873-87E9-A02CB6BEB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'!$B$61:$N$61</c:f>
              <c:numCache>
                <c:formatCode>_(* #,##0.00_);_(* \(#,##0.00\);_(* "-"??_);_(@_)</c:formatCode>
                <c:ptCount val="13"/>
                <c:pt idx="0">
                  <c:v>1374.5939705101855</c:v>
                </c:pt>
                <c:pt idx="1">
                  <c:v>2798.584155022234</c:v>
                </c:pt>
                <c:pt idx="2">
                  <c:v>2964.5585453983908</c:v>
                </c:pt>
                <c:pt idx="3">
                  <c:v>3707.1927614848119</c:v>
                </c:pt>
                <c:pt idx="4">
                  <c:v>4334.4680606506599</c:v>
                </c:pt>
                <c:pt idx="5">
                  <c:v>4955.7672728051257</c:v>
                </c:pt>
                <c:pt idx="6">
                  <c:v>5793.0706203962409</c:v>
                </c:pt>
                <c:pt idx="7">
                  <c:v>6449.0721459088163</c:v>
                </c:pt>
                <c:pt idx="8">
                  <c:v>7130.5653035371224</c:v>
                </c:pt>
                <c:pt idx="9">
                  <c:v>8077.4973906914993</c:v>
                </c:pt>
                <c:pt idx="10">
                  <c:v>8833.080041107647</c:v>
                </c:pt>
                <c:pt idx="11">
                  <c:v>10736.078061451466</c:v>
                </c:pt>
                <c:pt idx="12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2EA-A4EE-2DD44158F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921961233878"/>
          <c:y val="7.7561391581319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'!$A$38</c:f>
              <c:strCache>
                <c:ptCount val="1"/>
                <c:pt idx="0">
                  <c:v>Gumbel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'!$C$59:$N$59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'CAR FFA '!$C$85:$N$85</c:f>
              <c:numCache>
                <c:formatCode>_(* #,##0.00_);_(* \(#,##0.00\);_(* "-"??_);_(@_)</c:formatCode>
                <c:ptCount val="12"/>
                <c:pt idx="0">
                  <c:v>49.078096158744295</c:v>
                </c:pt>
                <c:pt idx="1">
                  <c:v>51.28989837008065</c:v>
                </c:pt>
                <c:pt idx="2">
                  <c:v>60.8989700918845</c:v>
                </c:pt>
                <c:pt idx="3">
                  <c:v>68.725417203802962</c:v>
                </c:pt>
                <c:pt idx="4">
                  <c:v>76.232733175191768</c:v>
                </c:pt>
                <c:pt idx="5">
                  <c:v>85.950183643096949</c:v>
                </c:pt>
                <c:pt idx="6">
                  <c:v>93.232045316724395</c:v>
                </c:pt>
                <c:pt idx="7">
                  <c:v>100.48733670029125</c:v>
                </c:pt>
                <c:pt idx="8">
                  <c:v>110.05931601159216</c:v>
                </c:pt>
                <c:pt idx="9">
                  <c:v>117.29359117455522</c:v>
                </c:pt>
                <c:pt idx="10">
                  <c:v>134.08310851464344</c:v>
                </c:pt>
                <c:pt idx="11">
                  <c:v>141.31268402119795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BB-418F-8827-D855F900D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1208"/>
        <c:axId val="338521600"/>
      </c:scatterChart>
      <c:valAx>
        <c:axId val="33852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600"/>
        <c:crosses val="autoZero"/>
        <c:crossBetween val="midCat"/>
      </c:valAx>
      <c:valAx>
        <c:axId val="33852160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21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531704497836149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48037039500348"/>
          <c:y val="7.756145440295141E-2"/>
          <c:w val="0.7245217467656947"/>
          <c:h val="0.8027245397329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'!$A$36</c:f>
              <c:strCache>
                <c:ptCount val="1"/>
                <c:pt idx="0">
                  <c:v>Log normal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'!$C$83:$N$83</c:f>
              <c:numCache>
                <c:formatCode>_(* #,##0.00_);_(* \(#,##0.00\);_(* "-"??_);_(@_)</c:formatCode>
                <c:ptCount val="12"/>
                <c:pt idx="0">
                  <c:v>49.727969884204093</c:v>
                </c:pt>
                <c:pt idx="1">
                  <c:v>52.030201841256925</c:v>
                </c:pt>
                <c:pt idx="2">
                  <c:v>61.583209563259658</c:v>
                </c:pt>
                <c:pt idx="3">
                  <c:v>68.873129984521455</c:v>
                </c:pt>
                <c:pt idx="4">
                  <c:v>75.537563742863313</c:v>
                </c:pt>
                <c:pt idx="5">
                  <c:v>83.810178839132149</c:v>
                </c:pt>
                <c:pt idx="6">
                  <c:v>89.821419413432537</c:v>
                </c:pt>
                <c:pt idx="7">
                  <c:v>95.699289499504658</c:v>
                </c:pt>
                <c:pt idx="8">
                  <c:v>103.33953804488441</c:v>
                </c:pt>
                <c:pt idx="9">
                  <c:v>109.05965162516378</c:v>
                </c:pt>
                <c:pt idx="10">
                  <c:v>122.26280681914945</c:v>
                </c:pt>
                <c:pt idx="11">
                  <c:v>127.94847172775778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A-4942-BBA5-822D4E36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19248"/>
        <c:axId val="258295384"/>
      </c:scatterChart>
      <c:valAx>
        <c:axId val="33851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5384"/>
        <c:crosses val="autoZero"/>
        <c:crossBetween val="midCat"/>
      </c:valAx>
      <c:valAx>
        <c:axId val="2582953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5192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267532511784118"/>
          <c:y val="8.9613733057624101E-3"/>
        </c:manualLayout>
      </c:layout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80321106468523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FFA '!$A$37</c:f>
              <c:strCache>
                <c:ptCount val="1"/>
                <c:pt idx="0">
                  <c:v>Log Pearson III (m3/s)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2461816898690483E-2"/>
                  <c:y val="0.16887637432714728"/>
                </c:manualLayout>
              </c:layout>
              <c:numFmt formatCode="General" sourceLinked="0"/>
            </c:trendlineLbl>
          </c:trendline>
          <c:xVal>
            <c:numRef>
              <c:f>'CAR FFA '!$B$59:$N$59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2.33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5000</c:v>
                </c:pt>
                <c:pt idx="12">
                  <c:v>10000</c:v>
                </c:pt>
              </c:numCache>
            </c:numRef>
          </c:xVal>
          <c:yVal>
            <c:numRef>
              <c:f>'CAR FFA '!$C$84:$N$84</c:f>
              <c:numCache>
                <c:formatCode>_(* #,##0.00_);_(* \(#,##0.00\);_(* "-"??_);_(@_)</c:formatCode>
                <c:ptCount val="12"/>
                <c:pt idx="0">
                  <c:v>49.129496557598394</c:v>
                </c:pt>
                <c:pt idx="1">
                  <c:v>51.413193982860918</c:v>
                </c:pt>
                <c:pt idx="2">
                  <c:v>61.319278246479961</c:v>
                </c:pt>
                <c:pt idx="3">
                  <c:v>69.354383262866392</c:v>
                </c:pt>
                <c:pt idx="4">
                  <c:v>77.068577989301232</c:v>
                </c:pt>
                <c:pt idx="5">
                  <c:v>87.143484225407931</c:v>
                </c:pt>
                <c:pt idx="6">
                  <c:v>94.817254701008039</c:v>
                </c:pt>
                <c:pt idx="7">
                  <c:v>102.61259557600434</c:v>
                </c:pt>
                <c:pt idx="8">
                  <c:v>113.18302700682553</c:v>
                </c:pt>
                <c:pt idx="9">
                  <c:v>121.4255491988377</c:v>
                </c:pt>
                <c:pt idx="10">
                  <c:v>141.54640423289902</c:v>
                </c:pt>
                <c:pt idx="11">
                  <c:v>150.69030876767206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CA-4DC3-812C-CC439D31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93816"/>
        <c:axId val="258296560"/>
      </c:scatterChart>
      <c:valAx>
        <c:axId val="25829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6560"/>
        <c:crosses val="autoZero"/>
        <c:crossBetween val="midCat"/>
      </c:valAx>
      <c:valAx>
        <c:axId val="25829656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293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8305917205893"/>
          <c:y val="0.12328815062500749"/>
          <c:w val="0.761107039837842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analys'!$A$30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analys'!$C$30:$L$30</c:f>
            </c:numRef>
          </c:yVal>
          <c:smooth val="0"/>
          <c:extLst>
            <c:ext xmlns:c16="http://schemas.microsoft.com/office/drawing/2014/chart" uri="{C3380CC4-5D6E-409C-BE32-E72D297353CC}">
              <c16:uniqueId val="{00000000-66FD-4E23-A624-0040943F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08696"/>
        <c:axId val="259803992"/>
      </c:scatterChart>
      <c:valAx>
        <c:axId val="259808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3992"/>
        <c:crosses val="autoZero"/>
        <c:crossBetween val="midCat"/>
      </c:valAx>
      <c:valAx>
        <c:axId val="259803992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086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57899171383"/>
          <c:y val="2.27920624966127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15286883960222"/>
          <c:y val="0.10502331044235912"/>
          <c:w val="0.79735709131976029"/>
          <c:h val="0.748615914654876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analys'!$A$29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6.7543227378573337E-2"/>
                  <c:y val="-6.5273818264678332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analys'!$C$29:$L$29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7F70-401E-B25D-4133819D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10264"/>
        <c:axId val="259810656"/>
      </c:scatterChart>
      <c:valAx>
        <c:axId val="25981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0656"/>
        <c:crosses val="autoZero"/>
        <c:crossBetween val="midCat"/>
      </c:valAx>
      <c:valAx>
        <c:axId val="25981065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8102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619244123716"/>
          <c:y val="0.12328815062500749"/>
          <c:w val="0.79805968253023229"/>
          <c:h val="0.67897189017175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flood frequency analys'!$A$28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2.0124809822501002E-2"/>
                  <c:y val="-8.1027543970796756E-2"/>
                </c:manualLayout>
              </c:layout>
              <c:numFmt formatCode="General" sourceLinked="0"/>
            </c:trendlineLbl>
          </c:trendline>
          <c:xVal>
            <c:numRef>
              <c:f>'Regional flood frequency analys'!$C$27:$L$27</c:f>
            </c:numRef>
          </c:xVal>
          <c:yVal>
            <c:numRef>
              <c:f>'Regional flood frequency analys'!$C$28:$L$28</c:f>
            </c:numRef>
          </c:yVal>
          <c:smooth val="0"/>
          <c:extLst>
            <c:ext xmlns:c16="http://schemas.microsoft.com/office/drawing/2014/chart" uri="{C3380CC4-5D6E-409C-BE32-E72D297353CC}">
              <c16:uniqueId val="{00000000-1535-4D14-BB95-07F34029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1704"/>
        <c:axId val="387042096"/>
      </c:scatterChart>
      <c:valAx>
        <c:axId val="38704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096"/>
        <c:crosses val="autoZero"/>
        <c:crossBetween val="midCat"/>
      </c:valAx>
      <c:valAx>
        <c:axId val="387042096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17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61404673815"/>
          <c:y val="2.27920566532956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672962862496418"/>
          <c:y val="0.10502331044235912"/>
          <c:w val="0.66681094384785489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analysis'!$A$60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3059534011401264"/>
                  <c:y val="0.13834256062840469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analysis'!$C$58:$N$58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analysis'!$C$60:$N$60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4-468B-83B9-18190A7F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2488"/>
        <c:axId val="387042880"/>
      </c:scatterChart>
      <c:valAx>
        <c:axId val="387042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880"/>
        <c:crosses val="autoZero"/>
        <c:crossBetween val="midCat"/>
      </c:valAx>
      <c:valAx>
        <c:axId val="38704288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248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4522214543845"/>
          <c:y val="0.13488231119702118"/>
          <c:w val="0.75079390049697203"/>
          <c:h val="0.706386908772604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13289460459791211"/>
                  <c:y val="0.10586902254128756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analysis'!$C$58:$AB$58</c:f>
              <c:numCache>
                <c:formatCode>General</c:formatCode>
                <c:ptCount val="26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analysis'!$C$59:$AB$59</c:f>
              <c:numCache>
                <c:formatCode>0.0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8-4089-950B-3F338DED8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40136"/>
        <c:axId val="387040920"/>
      </c:scatterChart>
      <c:valAx>
        <c:axId val="38704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0920"/>
        <c:crosses val="autoZero"/>
        <c:crossBetween val="midCat"/>
      </c:valAx>
      <c:valAx>
        <c:axId val="38704092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401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33453180645714331"/>
                  <c:y val="-2.2131641311826312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analysis'!$C$86:$AB$86</c:f>
              <c:numCache>
                <c:formatCode>0.00</c:formatCode>
                <c:ptCount val="26"/>
                <c:pt idx="0">
                  <c:v>42.938933036017502</c:v>
                </c:pt>
                <c:pt idx="1">
                  <c:v>45.59637317870736</c:v>
                </c:pt>
                <c:pt idx="2">
                  <c:v>57.141498143601538</c:v>
                </c:pt>
                <c:pt idx="3">
                  <c:v>66.544832050788926</c:v>
                </c:pt>
                <c:pt idx="4">
                  <c:v>75.564735694963105</c:v>
                </c:pt>
                <c:pt idx="5">
                  <c:v>87.240075752792762</c:v>
                </c:pt>
                <c:pt idx="6">
                  <c:v>95.98910015733955</c:v>
                </c:pt>
                <c:pt idx="7">
                  <c:v>104.70620084147045</c:v>
                </c:pt>
                <c:pt idx="8">
                  <c:v>116.20675994954684</c:v>
                </c:pt>
                <c:pt idx="9">
                  <c:v>124.89861002673202</c:v>
                </c:pt>
                <c:pt idx="10">
                  <c:v>145.07090984959029</c:v>
                </c:pt>
                <c:pt idx="11">
                  <c:v>153.75711337504814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8-4405-B3A9-0474486DF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29160"/>
        <c:axId val="387036608"/>
      </c:scatterChart>
      <c:valAx>
        <c:axId val="38702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6608"/>
        <c:crosses val="autoZero"/>
        <c:crossBetween val="midCat"/>
      </c:valAx>
      <c:valAx>
        <c:axId val="38703660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1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7307584058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8.5747756731308744E-2"/>
                  <c:y val="-2.0016222036710701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analysis'!$C$85:$N$85</c:f>
              <c:numCache>
                <c:formatCode>0.00</c:formatCode>
                <c:ptCount val="12"/>
                <c:pt idx="0">
                  <c:v>44.344889420037198</c:v>
                </c:pt>
                <c:pt idx="1">
                  <c:v>47.403206648033475</c:v>
                </c:pt>
                <c:pt idx="2">
                  <c:v>59.4543501119458</c:v>
                </c:pt>
                <c:pt idx="3">
                  <c:v>67.856742666381422</c:v>
                </c:pt>
                <c:pt idx="4">
                  <c:v>74.906371941649638</c:v>
                </c:pt>
                <c:pt idx="5">
                  <c:v>82.836814689646829</c:v>
                </c:pt>
                <c:pt idx="6">
                  <c:v>88.059088017740635</c:v>
                </c:pt>
                <c:pt idx="7">
                  <c:v>92.755247904493885</c:v>
                </c:pt>
                <c:pt idx="8">
                  <c:v>98.298929341233631</c:v>
                </c:pt>
                <c:pt idx="9">
                  <c:v>102.06810674481247</c:v>
                </c:pt>
                <c:pt idx="10">
                  <c:v>109.66579975735466</c:v>
                </c:pt>
                <c:pt idx="11">
                  <c:v>112.51686246532758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8-4017-8CB2-CD70B6647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648"/>
        <c:axId val="387035040"/>
      </c:scatterChart>
      <c:valAx>
        <c:axId val="387034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5040"/>
        <c:crosses val="autoZero"/>
        <c:crossBetween val="midCat"/>
      </c:valAx>
      <c:valAx>
        <c:axId val="3870350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46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4918418702818"/>
          <c:y val="1.9495811526553195E-2"/>
          <c:w val="0.6956178261222502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7267617652330439"/>
                  <c:y val="0.1940964758046021"/>
                </c:manualLayout>
              </c:layout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analysis'!$C$109:$N$109</c:f>
              <c:numCache>
                <c:formatCode>0.0</c:formatCode>
                <c:ptCount val="12"/>
                <c:pt idx="0">
                  <c:v>2825.3623019180159</c:v>
                </c:pt>
                <c:pt idx="1">
                  <c:v>2995.3354945597016</c:v>
                </c:pt>
                <c:pt idx="2">
                  <c:v>3733.7761157448676</c:v>
                </c:pt>
                <c:pt idx="3">
                  <c:v>4335.2251041923164</c:v>
                </c:pt>
                <c:pt idx="4">
                  <c:v>4912.1494138284379</c:v>
                </c:pt>
                <c:pt idx="5">
                  <c:v>5658.9187550930619</c:v>
                </c:pt>
                <c:pt idx="6">
                  <c:v>6218.5172900333837</c:v>
                </c:pt>
                <c:pt idx="7">
                  <c:v>6776.0739439194822</c:v>
                </c:pt>
                <c:pt idx="8">
                  <c:v>7511.6640772067476</c:v>
                </c:pt>
                <c:pt idx="9">
                  <c:v>8067.6056707158459</c:v>
                </c:pt>
                <c:pt idx="10">
                  <c:v>9357.851177561377</c:v>
                </c:pt>
                <c:pt idx="11">
                  <c:v>9913.4316105652633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2-41D7-B6E8-83DD15CD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1904"/>
        <c:axId val="387029552"/>
      </c:scatterChart>
      <c:valAx>
        <c:axId val="38703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552"/>
        <c:crosses val="autoZero"/>
        <c:crossBetween val="midCat"/>
      </c:valAx>
      <c:valAx>
        <c:axId val="3870295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1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82393292548277"/>
          <c:y val="0.10502331044235912"/>
          <c:w val="0.7941416298560544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analysis'!$C$108:$N$108</c:f>
              <c:numCache>
                <c:formatCode>0.0</c:formatCode>
                <c:ptCount val="12"/>
                <c:pt idx="0">
                  <c:v>2798.584155022234</c:v>
                </c:pt>
                <c:pt idx="1">
                  <c:v>2964.5585453983908</c:v>
                </c:pt>
                <c:pt idx="2">
                  <c:v>3707.1927614848119</c:v>
                </c:pt>
                <c:pt idx="3">
                  <c:v>4334.4680606506599</c:v>
                </c:pt>
                <c:pt idx="4">
                  <c:v>4955.7672728051257</c:v>
                </c:pt>
                <c:pt idx="5">
                  <c:v>5793.0706203962409</c:v>
                </c:pt>
                <c:pt idx="6">
                  <c:v>6449.0721459088163</c:v>
                </c:pt>
                <c:pt idx="7">
                  <c:v>7130.5653035371224</c:v>
                </c:pt>
                <c:pt idx="8">
                  <c:v>8077.4973906914993</c:v>
                </c:pt>
                <c:pt idx="9">
                  <c:v>8833.080041107647</c:v>
                </c:pt>
                <c:pt idx="10">
                  <c:v>10736.078061451466</c:v>
                </c:pt>
                <c:pt idx="11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D-4A5A-93E4-40703CB9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29944"/>
        <c:axId val="387031512"/>
      </c:scatterChart>
      <c:valAx>
        <c:axId val="387029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1512"/>
        <c:crosses val="autoZero"/>
        <c:crossBetween val="midCat"/>
      </c:valAx>
      <c:valAx>
        <c:axId val="3870315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99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4293293510724953"/>
                  <c:y val="-2.2804982404802741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analysis'!$C$106:$N$106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analysis'!$C$107:$N$107</c:f>
              <c:numCache>
                <c:formatCode>0.0</c:formatCode>
                <c:ptCount val="12"/>
                <c:pt idx="0">
                  <c:v>2843.0881875132391</c:v>
                </c:pt>
                <c:pt idx="1">
                  <c:v>3011.0224291771879</c:v>
                </c:pt>
                <c:pt idx="2">
                  <c:v>3728.5968585209721</c:v>
                </c:pt>
                <c:pt idx="3">
                  <c:v>4296.925608290333</c:v>
                </c:pt>
                <c:pt idx="4">
                  <c:v>4830.8568187083038</c:v>
                </c:pt>
                <c:pt idx="5">
                  <c:v>5511.3377307575402</c:v>
                </c:pt>
                <c:pt idx="6">
                  <c:v>6017.3405872898466</c:v>
                </c:pt>
                <c:pt idx="7">
                  <c:v>6520.9830150438675</c:v>
                </c:pt>
                <c:pt idx="8">
                  <c:v>7188.083843681321</c:v>
                </c:pt>
                <c:pt idx="9">
                  <c:v>7696.3169096009533</c:v>
                </c:pt>
                <c:pt idx="10">
                  <c:v>8896.4682934901903</c:v>
                </c:pt>
                <c:pt idx="11">
                  <c:v>9424.3259575007178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9D-427F-A688-82731C67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5824"/>
        <c:axId val="387032296"/>
      </c:scatterChart>
      <c:valAx>
        <c:axId val="38703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2296"/>
        <c:crosses val="autoZero"/>
        <c:crossBetween val="midCat"/>
      </c:valAx>
      <c:valAx>
        <c:axId val="3870322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58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analysis'!$C$174:$N$174</c:f>
            </c:numRef>
          </c:xVal>
          <c:yVal>
            <c:numRef>
              <c:f>'Regional regression analysis'!$C$177:$N$177</c:f>
            </c:numRef>
          </c:yVal>
          <c:smooth val="0"/>
          <c:extLst>
            <c:ext xmlns:c16="http://schemas.microsoft.com/office/drawing/2014/chart" uri="{C3380CC4-5D6E-409C-BE32-E72D297353CC}">
              <c16:uniqueId val="{00000000-EEFB-49B8-8253-41418FF33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0336"/>
        <c:axId val="387027984"/>
      </c:scatterChart>
      <c:valAx>
        <c:axId val="38703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7984"/>
        <c:crosses val="autoZero"/>
        <c:crossBetween val="midCat"/>
      </c:valAx>
      <c:valAx>
        <c:axId val="38702798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0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20175118166615"/>
          <c:y val="0.10502331044235912"/>
          <c:w val="0.7577641660427979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analysis'!$C$174:$N$174</c:f>
            </c:numRef>
          </c:xVal>
          <c:yVal>
            <c:numRef>
              <c:f>'Regional regression analysis'!$C$176:$N$176</c:f>
            </c:numRef>
          </c:yVal>
          <c:smooth val="0"/>
          <c:extLst>
            <c:ext xmlns:c16="http://schemas.microsoft.com/office/drawing/2014/chart" uri="{C3380CC4-5D6E-409C-BE32-E72D297353CC}">
              <c16:uniqueId val="{00000000-3015-472D-8D8C-1E251EB75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8176"/>
        <c:axId val="387037000"/>
      </c:scatterChart>
      <c:valAx>
        <c:axId val="38703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7000"/>
        <c:crosses val="autoZero"/>
        <c:crossBetween val="midCat"/>
      </c:valAx>
      <c:valAx>
        <c:axId val="38703700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81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analysis'!$C$174:$AB$174</c:f>
            </c:numRef>
          </c:xVal>
          <c:yVal>
            <c:numRef>
              <c:f>'Regional regression analysis'!$C$175:$N$175</c:f>
            </c:numRef>
          </c:yVal>
          <c:smooth val="0"/>
          <c:extLst>
            <c:ext xmlns:c16="http://schemas.microsoft.com/office/drawing/2014/chart" uri="{C3380CC4-5D6E-409C-BE32-E72D297353CC}">
              <c16:uniqueId val="{00000000-921F-412F-8ECF-D55F0D8F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3864"/>
        <c:axId val="387037392"/>
      </c:scatterChart>
      <c:valAx>
        <c:axId val="38703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7392"/>
        <c:crosses val="autoZero"/>
        <c:crossBetween val="midCat"/>
      </c:valAx>
      <c:valAx>
        <c:axId val="38703739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38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72348024544762"/>
          <c:y val="8.94764608955433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analysis'!$C$132:$N$132</c:f>
              <c:numCache>
                <c:formatCode>0.0</c:formatCode>
                <c:ptCount val="12"/>
                <c:pt idx="0">
                  <c:v>1333.6379986843704</c:v>
                </c:pt>
                <c:pt idx="1">
                  <c:v>1373.2970216638953</c:v>
                </c:pt>
                <c:pt idx="2">
                  <c:v>1545.5938004055492</c:v>
                </c:pt>
                <c:pt idx="3">
                  <c:v>1685.92698402782</c:v>
                </c:pt>
                <c:pt idx="4">
                  <c:v>1820.5379429543755</c:v>
                </c:pt>
                <c:pt idx="5">
                  <c:v>1994.778021671088</c:v>
                </c:pt>
                <c:pt idx="6">
                  <c:v>2125.3464413823722</c:v>
                </c:pt>
                <c:pt idx="7">
                  <c:v>2255.4384388626427</c:v>
                </c:pt>
                <c:pt idx="8">
                  <c:v>2427.0701270491995</c:v>
                </c:pt>
                <c:pt idx="9">
                  <c:v>2556.7852903027942</c:v>
                </c:pt>
                <c:pt idx="10">
                  <c:v>2857.8320342625011</c:v>
                </c:pt>
                <c:pt idx="11">
                  <c:v>2987.462929682134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C-4090-936C-F605C5F86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256"/>
        <c:axId val="387028376"/>
      </c:scatterChart>
      <c:valAx>
        <c:axId val="38703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8376"/>
        <c:crosses val="autoZero"/>
        <c:crossBetween val="midCat"/>
      </c:valAx>
      <c:valAx>
        <c:axId val="38702837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4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51556160229952"/>
          <c:y val="0.10502331044235912"/>
          <c:w val="0.7454498799414605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analysis'!$C$131:$N$131</c:f>
              <c:numCache>
                <c:formatCode>0.0</c:formatCode>
                <c:ptCount val="12"/>
                <c:pt idx="0">
                  <c:v>1370.9925128635991</c:v>
                </c:pt>
                <c:pt idx="1">
                  <c:v>1414.683721109458</c:v>
                </c:pt>
                <c:pt idx="2">
                  <c:v>1578.2140854157904</c:v>
                </c:pt>
                <c:pt idx="3">
                  <c:v>1686.4433483883608</c:v>
                </c:pt>
                <c:pt idx="4">
                  <c:v>1774.9282537674003</c:v>
                </c:pt>
                <c:pt idx="5">
                  <c:v>1872.9554232804892</c:v>
                </c:pt>
                <c:pt idx="6">
                  <c:v>1937.1025211702602</c:v>
                </c:pt>
                <c:pt idx="7">
                  <c:v>1994.7951853780989</c:v>
                </c:pt>
                <c:pt idx="8">
                  <c:v>2063.2279532432244</c:v>
                </c:pt>
                <c:pt idx="9">
                  <c:v>2110.1564854491958</c:v>
                </c:pt>
                <c:pt idx="10">
                  <c:v>2206.4382310925798</c:v>
                </c:pt>
                <c:pt idx="11">
                  <c:v>2243.4002477403246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8-48C4-AD71-AC213F1B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8568"/>
        <c:axId val="387030728"/>
      </c:scatterChart>
      <c:valAx>
        <c:axId val="38703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0728"/>
        <c:crosses val="autoZero"/>
        <c:crossBetween val="midCat"/>
      </c:valAx>
      <c:valAx>
        <c:axId val="38703072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85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analysis'!$C$129:$N$129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analysis'!$C$130:$N$130</c:f>
              <c:numCache>
                <c:formatCode>0.0</c:formatCode>
                <c:ptCount val="12"/>
                <c:pt idx="0">
                  <c:v>1352.3130563300926</c:v>
                </c:pt>
                <c:pt idx="1">
                  <c:v>1396.5360814671876</c:v>
                </c:pt>
                <c:pt idx="2">
                  <c:v>1574.3583134793946</c:v>
                </c:pt>
                <c:pt idx="3">
                  <c:v>1704.7088299448419</c:v>
                </c:pt>
                <c:pt idx="4">
                  <c:v>1820.4192485747451</c:v>
                </c:pt>
                <c:pt idx="5">
                  <c:v>1960.0285482679385</c:v>
                </c:pt>
                <c:pt idx="6">
                  <c:v>2058.979777402631</c:v>
                </c:pt>
                <c:pt idx="7">
                  <c:v>2153.9002002338152</c:v>
                </c:pt>
                <c:pt idx="8">
                  <c:v>2274.8020077592519</c:v>
                </c:pt>
                <c:pt idx="9">
                  <c:v>2363.6312901426136</c:v>
                </c:pt>
                <c:pt idx="10">
                  <c:v>2563.7033916840105</c:v>
                </c:pt>
                <c:pt idx="11">
                  <c:v>2647.9136411604873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8-4AB4-AC3F-F85725487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9352"/>
        <c:axId val="387027592"/>
      </c:scatterChart>
      <c:valAx>
        <c:axId val="38703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27592"/>
        <c:crosses val="autoZero"/>
        <c:crossBetween val="midCat"/>
      </c:valAx>
      <c:valAx>
        <c:axId val="38702759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0393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57346974661612"/>
          <c:y val="0.13488231119702118"/>
          <c:w val="0.78667295337187559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analysis'!$A$84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23519743760843453"/>
                  <c:y val="-3.1334157942900814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analysis'!$C$83:$N$83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analysis'!$C$84:$N$84</c:f>
              <c:numCache>
                <c:formatCode>0.0</c:formatCode>
                <c:ptCount val="12"/>
                <c:pt idx="0">
                  <c:v>42.577130397333633</c:v>
                </c:pt>
                <c:pt idx="1">
                  <c:v>45.641971161295515</c:v>
                </c:pt>
                <c:pt idx="2">
                  <c:v>59.129413881409512</c:v>
                </c:pt>
                <c:pt idx="3">
                  <c:v>70.214963872933595</c:v>
                </c:pt>
                <c:pt idx="4">
                  <c:v>80.917029594133382</c:v>
                </c:pt>
                <c:pt idx="5">
                  <c:v>94.920812244672803</c:v>
                </c:pt>
                <c:pt idx="6">
                  <c:v>105.57631447132336</c:v>
                </c:pt>
                <c:pt idx="7">
                  <c:v>116.37194637625507</c:v>
                </c:pt>
                <c:pt idx="8">
                  <c:v>130.94319439345239</c:v>
                </c:pt>
                <c:pt idx="9">
                  <c:v>142.23928486266499</c:v>
                </c:pt>
                <c:pt idx="10">
                  <c:v>169.53026550489457</c:v>
                </c:pt>
                <c:pt idx="11">
                  <c:v>181.78886327982059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1-4046-9FF2-9C274229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7576"/>
        <c:axId val="556483656"/>
      </c:scatterChart>
      <c:valAx>
        <c:axId val="556487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3656"/>
        <c:crosses val="autoZero"/>
        <c:crossBetween val="midCat"/>
      </c:valAx>
      <c:valAx>
        <c:axId val="55648365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7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97538113043024"/>
          <c:y val="0.12328815062500749"/>
          <c:w val="0.73101456280773591"/>
          <c:h val="0.708678302608683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5502642358384447"/>
                  <c:y val="-3.4986791479098854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analysis'!$C$58:$N$58</c:f>
              <c:numCache>
                <c:formatCode>General</c:formatCode>
                <c:ptCount val="12"/>
                <c:pt idx="0">
                  <c:v>2</c:v>
                </c:pt>
                <c:pt idx="1">
                  <c:v>2.33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'Regional regression analysis'!$C$61:$N$61</c:f>
              <c:numCache>
                <c:formatCode>0.0</c:formatCode>
                <c:ptCount val="12"/>
                <c:pt idx="0">
                  <c:v>196.85398524883777</c:v>
                </c:pt>
                <c:pt idx="1">
                  <c:v>221.06225743449147</c:v>
                </c:pt>
                <c:pt idx="2">
                  <c:v>326.23396876592602</c:v>
                </c:pt>
                <c:pt idx="3">
                  <c:v>411.89477557806498</c:v>
                </c:pt>
                <c:pt idx="4">
                  <c:v>494.06267806392066</c:v>
                </c:pt>
                <c:pt idx="5">
                  <c:v>600.42059952359978</c:v>
                </c:pt>
                <c:pt idx="6">
                  <c:v>680.12089483479087</c:v>
                </c:pt>
                <c:pt idx="7">
                  <c:v>759.53037715622099</c:v>
                </c:pt>
                <c:pt idx="8">
                  <c:v>864.29611042828151</c:v>
                </c:pt>
                <c:pt idx="9">
                  <c:v>943.47556929368886</c:v>
                </c:pt>
                <c:pt idx="10">
                  <c:v>1127.2375727637177</c:v>
                </c:pt>
                <c:pt idx="11">
                  <c:v>1206.365593683664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4-45DE-A015-DDAD783D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832"/>
        <c:axId val="556489928"/>
      </c:scatterChart>
      <c:valAx>
        <c:axId val="55648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928"/>
        <c:crosses val="autoZero"/>
        <c:crossBetween val="midCat"/>
      </c:valAx>
      <c:valAx>
        <c:axId val="556489928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analysis'!$C$197:$N$197</c:f>
            </c:numRef>
          </c:xVal>
          <c:yVal>
            <c:numRef>
              <c:f>'Regional regression analysis'!$C$200:$N$200</c:f>
            </c:numRef>
          </c:yVal>
          <c:smooth val="0"/>
          <c:extLst>
            <c:ext xmlns:c16="http://schemas.microsoft.com/office/drawing/2014/chart" uri="{C3380CC4-5D6E-409C-BE32-E72D297353CC}">
              <c16:uniqueId val="{00000000-BE11-49B3-A898-281F1486E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analysis'!$C$197:$AB$197</c:f>
            </c:numRef>
          </c:xVal>
          <c:yVal>
            <c:numRef>
              <c:f>'Regional regression analysis'!$C$199:$N$199</c:f>
            </c:numRef>
          </c:yVal>
          <c:smooth val="0"/>
          <c:extLst>
            <c:ext xmlns:c16="http://schemas.microsoft.com/office/drawing/2014/chart" uri="{C3380CC4-5D6E-409C-BE32-E72D297353CC}">
              <c16:uniqueId val="{00000000-5198-4E14-A3F9-062EE00E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analysis'!$C$197:$N$197</c:f>
            </c:numRef>
          </c:xVal>
          <c:yVal>
            <c:numRef>
              <c:f>'Regional regression analysis'!$C$198:$N$198</c:f>
            </c:numRef>
          </c:yVal>
          <c:smooth val="0"/>
          <c:extLst>
            <c:ext xmlns:c16="http://schemas.microsoft.com/office/drawing/2014/chart" uri="{C3380CC4-5D6E-409C-BE32-E72D297353CC}">
              <c16:uniqueId val="{00000000-4A30-4C01-A6B7-4243CBBFA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analysis'!$C$151:$N$151</c:f>
            </c:numRef>
          </c:xVal>
          <c:yVal>
            <c:numRef>
              <c:f>'Regional regression analysis'!$C$154:$N$154</c:f>
            </c:numRef>
          </c:yVal>
          <c:smooth val="0"/>
          <c:extLst>
            <c:ext xmlns:c16="http://schemas.microsoft.com/office/drawing/2014/chart" uri="{C3380CC4-5D6E-409C-BE32-E72D297353CC}">
              <c16:uniqueId val="{00000000-17B8-4F32-AE6C-3D74BC76F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2872"/>
        <c:axId val="556488360"/>
      </c:scatterChart>
      <c:valAx>
        <c:axId val="55648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8360"/>
        <c:crosses val="autoZero"/>
        <c:crossBetween val="midCat"/>
      </c:valAx>
      <c:valAx>
        <c:axId val="556488360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28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2131124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914636397662982"/>
          <c:y val="0.10502331044235912"/>
          <c:w val="0.75681922192516871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analysis'!$C$151:$N$151</c:f>
            </c:numRef>
          </c:xVal>
          <c:yVal>
            <c:numRef>
              <c:f>'Regional regression analysis'!$C$153:$N$153</c:f>
            </c:numRef>
          </c:yVal>
          <c:smooth val="0"/>
          <c:extLst>
            <c:ext xmlns:c16="http://schemas.microsoft.com/office/drawing/2014/chart" uri="{C3380CC4-5D6E-409C-BE32-E72D297353CC}">
              <c16:uniqueId val="{00000000-9C0B-4687-85DD-0A6447F16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78560"/>
        <c:axId val="556483264"/>
      </c:scatterChart>
      <c:valAx>
        <c:axId val="5564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3264"/>
        <c:crosses val="autoZero"/>
        <c:crossBetween val="midCat"/>
      </c:valAx>
      <c:valAx>
        <c:axId val="55648326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785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analysis'!$C$151:$AB$151</c:f>
            </c:numRef>
          </c:xVal>
          <c:yVal>
            <c:numRef>
              <c:f>'Regional regression analysis'!$C$152:$AB$152</c:f>
            </c:numRef>
          </c:yVal>
          <c:smooth val="0"/>
          <c:extLst>
            <c:ext xmlns:c16="http://schemas.microsoft.com/office/drawing/2014/chart" uri="{C3380CC4-5D6E-409C-BE32-E72D297353CC}">
              <c16:uniqueId val="{00000000-4B06-4441-B952-D4AE0459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6008"/>
        <c:axId val="556478952"/>
      </c:scatterChart>
      <c:valAx>
        <c:axId val="55648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78952"/>
        <c:crosses val="autoZero"/>
        <c:crossBetween val="midCat"/>
      </c:valAx>
      <c:valAx>
        <c:axId val="5564789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60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48225705175357"/>
          <c:y val="2.368598722075713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33106657673924"/>
          <c:y val="0.13427418301994473"/>
          <c:w val="0.77791583643792472"/>
          <c:h val="0.705381008687348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analysis'!$D$273</c:f>
              <c:strCache>
                <c:ptCount val="1"/>
                <c:pt idx="0">
                  <c:v>Q2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5.2208341897693883E-2"/>
                  <c:y val="-4.900462902521905E-2"/>
                </c:manualLayout>
              </c:layout>
              <c:numFmt formatCode="0.0000000" sourceLinked="0"/>
              <c:txPr>
                <a:bodyPr/>
                <a:lstStyle/>
                <a:p>
                  <a:pPr>
                    <a:defRPr sz="1100"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analysis'!$D$275:$D$278</c:f>
              <c:numCache>
                <c:formatCode>0.0</c:formatCode>
                <c:ptCount val="4"/>
                <c:pt idx="0">
                  <c:v>42.938933036017502</c:v>
                </c:pt>
                <c:pt idx="1">
                  <c:v>0</c:v>
                </c:pt>
                <c:pt idx="2">
                  <c:v>1333.6379986843704</c:v>
                </c:pt>
                <c:pt idx="3">
                  <c:v>2798.584155022234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9-4654-95C3-569EAB31F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7968"/>
        <c:axId val="556488752"/>
      </c:scatterChart>
      <c:valAx>
        <c:axId val="55648796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56488752"/>
        <c:crosses val="autoZero"/>
        <c:crossBetween val="midCat"/>
      </c:valAx>
      <c:valAx>
        <c:axId val="5564887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87968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33546257777793"/>
          <c:y val="1.4394366092110514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53765623476144"/>
          <c:y val="0.14387024480031674"/>
          <c:w val="0.80015986308033926"/>
          <c:h val="0.673499296880536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analysis'!$E$273</c:f>
              <c:strCache>
                <c:ptCount val="1"/>
                <c:pt idx="0">
                  <c:v>Q2.33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691616258855124E-2"/>
                  <c:y val="-6.2985702615902806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analysis'!$E$275:$E$278</c:f>
              <c:numCache>
                <c:formatCode>0.0</c:formatCode>
                <c:ptCount val="4"/>
                <c:pt idx="0">
                  <c:v>45.59637317870736</c:v>
                </c:pt>
                <c:pt idx="1">
                  <c:v>0</c:v>
                </c:pt>
                <c:pt idx="2">
                  <c:v>1373.2970216638953</c:v>
                </c:pt>
                <c:pt idx="3">
                  <c:v>2964.5585453983908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1-4915-AA5B-7C354BDF9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0128"/>
        <c:axId val="556479344"/>
      </c:scatterChart>
      <c:valAx>
        <c:axId val="55648012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79344"/>
        <c:crosses val="autoZero"/>
        <c:crossBetween val="midCat"/>
      </c:valAx>
      <c:valAx>
        <c:axId val="55647934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80128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842719838257775"/>
          <c:y val="1.9009590027266862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62955840197394"/>
          <c:y val="0.13427417726630325"/>
          <c:w val="0.82606799956457055"/>
          <c:h val="0.7258520559206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analysis'!$F$273</c:f>
              <c:strCache>
                <c:ptCount val="1"/>
                <c:pt idx="0">
                  <c:v>Q5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2999300770813528E-2"/>
                  <c:y val="-4.5943355054813475E-3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analysis'!$F$275:$F$278</c:f>
              <c:numCache>
                <c:formatCode>0.0</c:formatCode>
                <c:ptCount val="4"/>
                <c:pt idx="0">
                  <c:v>57.141498143601538</c:v>
                </c:pt>
                <c:pt idx="1">
                  <c:v>0</c:v>
                </c:pt>
                <c:pt idx="2">
                  <c:v>1545.5938004055492</c:v>
                </c:pt>
                <c:pt idx="3">
                  <c:v>3707.1927614848119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7-4C5C-AD1E-89D0827DE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0520"/>
        <c:axId val="556493848"/>
      </c:scatterChart>
      <c:valAx>
        <c:axId val="55648052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93848"/>
        <c:crosses val="autoZero"/>
        <c:crossBetween val="midCat"/>
      </c:valAx>
      <c:valAx>
        <c:axId val="55649384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8052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998398237016155"/>
          <c:y val="2.5073059897363581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0720500865045"/>
          <c:y val="0.13427417726630325"/>
          <c:w val="0.80498453598863273"/>
          <c:h val="0.7011776867335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analysis'!$G$273</c:f>
              <c:strCache>
                <c:ptCount val="1"/>
                <c:pt idx="0">
                  <c:v>Q10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0030628890456436"/>
                  <c:y val="-2.056847572210324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analysis'!$G$275:$G$278</c:f>
              <c:numCache>
                <c:formatCode>0.0</c:formatCode>
                <c:ptCount val="4"/>
                <c:pt idx="0">
                  <c:v>66.544832050788926</c:v>
                </c:pt>
                <c:pt idx="1">
                  <c:v>0</c:v>
                </c:pt>
                <c:pt idx="2">
                  <c:v>1685.92698402782</c:v>
                </c:pt>
                <c:pt idx="3">
                  <c:v>4334.4680606506599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9-423F-BDE8-3547C4902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2280"/>
        <c:axId val="556493456"/>
      </c:scatterChart>
      <c:valAx>
        <c:axId val="55649228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3456"/>
        <c:crosses val="autoZero"/>
        <c:crossBetween val="midCat"/>
      </c:valAx>
      <c:valAx>
        <c:axId val="55649345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228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1300221649408"/>
          <c:y val="0.13427417726630325"/>
          <c:w val="0.79648451709860668"/>
          <c:h val="0.706192312066057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analysis'!$H$273</c:f>
              <c:strCache>
                <c:ptCount val="1"/>
                <c:pt idx="0">
                  <c:v>Q20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analysis'!$H$275:$H$278</c:f>
              <c:numCache>
                <c:formatCode>0.0</c:formatCode>
                <c:ptCount val="4"/>
                <c:pt idx="0">
                  <c:v>75.564735694963105</c:v>
                </c:pt>
                <c:pt idx="1">
                  <c:v>0</c:v>
                </c:pt>
                <c:pt idx="2">
                  <c:v>1820.5379429543755</c:v>
                </c:pt>
                <c:pt idx="3">
                  <c:v>4955.7672728051257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4-4801-A16D-2004C155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4240"/>
        <c:axId val="556491496"/>
      </c:scatterChart>
      <c:valAx>
        <c:axId val="55649424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1496"/>
        <c:crosses val="autoZero"/>
        <c:crossBetween val="midCat"/>
      </c:valAx>
      <c:valAx>
        <c:axId val="55649149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6494240"/>
        <c:crosses val="autoZero"/>
        <c:crossBetween val="midCat"/>
        <c:majorUnit val="1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0061332488140553"/>
          <c:y val="1.5044013478726916E-2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7493740701767"/>
          <c:y val="0.13427417726630325"/>
          <c:w val="0.8039481838963678"/>
          <c:h val="0.69114843606866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analysis'!$I$273</c:f>
              <c:strCache>
                <c:ptCount val="1"/>
                <c:pt idx="0">
                  <c:v>Q50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5.223633258954051E-2"/>
                  <c:y val="-3.0582573531727379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analysis'!$I$275:$I$278</c:f>
              <c:numCache>
                <c:formatCode>0.0</c:formatCode>
                <c:ptCount val="4"/>
                <c:pt idx="0">
                  <c:v>87.240075752792762</c:v>
                </c:pt>
                <c:pt idx="1">
                  <c:v>0</c:v>
                </c:pt>
                <c:pt idx="2">
                  <c:v>1994.778021671088</c:v>
                </c:pt>
                <c:pt idx="3">
                  <c:v>5793.0706203962409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3-4311-ADC2-0E11877E2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2672"/>
        <c:axId val="557508200"/>
      </c:scatterChart>
      <c:valAx>
        <c:axId val="556492672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8200"/>
        <c:crosses val="autoZero"/>
        <c:crossBetween val="midCat"/>
      </c:valAx>
      <c:valAx>
        <c:axId val="55750820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6492672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195489282514143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1035551534186"/>
          <c:y val="0.1097128945828371"/>
          <c:w val="0.81248717730114162"/>
          <c:h val="0.719701379732083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analysis'!$J$273</c:f>
              <c:strCache>
                <c:ptCount val="1"/>
                <c:pt idx="0">
                  <c:v>Q100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6.0803361124719339E-2"/>
                  <c:y val="-1.6427131726875631E-3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analysis'!$J$275:$J$278</c:f>
              <c:numCache>
                <c:formatCode>0.0</c:formatCode>
                <c:ptCount val="4"/>
                <c:pt idx="0">
                  <c:v>95.98910015733955</c:v>
                </c:pt>
                <c:pt idx="1">
                  <c:v>0</c:v>
                </c:pt>
                <c:pt idx="2">
                  <c:v>2125.3464413823722</c:v>
                </c:pt>
                <c:pt idx="3">
                  <c:v>6449.0721459088163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8-43E9-A3F2-9766E05BD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6040"/>
        <c:axId val="557514864"/>
      </c:scatterChart>
      <c:valAx>
        <c:axId val="55751604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4864"/>
        <c:crosses val="autoZero"/>
        <c:crossBetween val="midCat"/>
      </c:valAx>
      <c:valAx>
        <c:axId val="55751486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6040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13784002607699"/>
          <c:y val="0.13427417726630325"/>
          <c:w val="0.78933834310636308"/>
          <c:h val="0.706318491573354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analysis'!$K$273</c:f>
              <c:strCache>
                <c:ptCount val="1"/>
                <c:pt idx="0">
                  <c:v>Q200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5696328283864203E-2"/>
                  <c:y val="-3.5999753927201915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analysis'!$K$275:$K$278</c:f>
              <c:numCache>
                <c:formatCode>0.0</c:formatCode>
                <c:ptCount val="4"/>
                <c:pt idx="0">
                  <c:v>104.70620084147045</c:v>
                </c:pt>
                <c:pt idx="1">
                  <c:v>0</c:v>
                </c:pt>
                <c:pt idx="2">
                  <c:v>2255.4384388626427</c:v>
                </c:pt>
                <c:pt idx="3">
                  <c:v>7130.5653035371224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6-402D-8D86-2C60E1D94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7216"/>
        <c:axId val="557512120"/>
      </c:scatterChart>
      <c:valAx>
        <c:axId val="557517216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2120"/>
        <c:crosses val="autoZero"/>
        <c:crossBetween val="midCat"/>
      </c:valAx>
      <c:valAx>
        <c:axId val="557512120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7216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369975414856"/>
          <c:y val="9.6219957307129185E-3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2456184912369"/>
          <c:y val="0.11503020132321382"/>
          <c:w val="0.82394194274102839"/>
          <c:h val="0.74048000121221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analysis'!$L$273</c:f>
              <c:strCache>
                <c:ptCount val="1"/>
                <c:pt idx="0">
                  <c:v>Q500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0633181890083607E-2"/>
                  <c:y val="-3.3243237612154017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analysis'!$L$275:$L$278</c:f>
              <c:numCache>
                <c:formatCode>0.0</c:formatCode>
                <c:ptCount val="4"/>
                <c:pt idx="0">
                  <c:v>116.20675994954684</c:v>
                </c:pt>
                <c:pt idx="1">
                  <c:v>0</c:v>
                </c:pt>
                <c:pt idx="2">
                  <c:v>2427.0701270491995</c:v>
                </c:pt>
                <c:pt idx="3">
                  <c:v>8077.4973906914993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4-4A7C-90D4-58F7E8698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0160"/>
        <c:axId val="557510944"/>
      </c:scatterChart>
      <c:valAx>
        <c:axId val="557510160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0944"/>
        <c:crosses val="autoZero"/>
        <c:crossBetween val="midCat"/>
      </c:valAx>
      <c:valAx>
        <c:axId val="55751094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0160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345424099142358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8786543648802"/>
          <c:y val="0.11973621150699651"/>
          <c:w val="0.80770970110730622"/>
          <c:h val="0.73075960340911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analysis'!$M$273</c:f>
              <c:strCache>
                <c:ptCount val="1"/>
                <c:pt idx="0">
                  <c:v>Q1000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3.1950589388991001E-2"/>
                  <c:y val="-8.09684760311607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analysis'!$M$275:$M$278</c:f>
              <c:numCache>
                <c:formatCode>0.0</c:formatCode>
                <c:ptCount val="4"/>
                <c:pt idx="0">
                  <c:v>124.89861002673202</c:v>
                </c:pt>
                <c:pt idx="1">
                  <c:v>0</c:v>
                </c:pt>
                <c:pt idx="2">
                  <c:v>2556.7852903027942</c:v>
                </c:pt>
                <c:pt idx="3">
                  <c:v>8833.080041107647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8-4EB5-8ABF-366D6352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8784"/>
        <c:axId val="557513296"/>
      </c:scatterChart>
      <c:valAx>
        <c:axId val="557518784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3296"/>
        <c:crosses val="autoZero"/>
        <c:crossBetween val="midCat"/>
      </c:valAx>
      <c:valAx>
        <c:axId val="55751329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18784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369975414856"/>
          <c:y val="9.6219957307129185E-3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2456184912369"/>
          <c:y val="0.11503020132321382"/>
          <c:w val="0.82394194274102839"/>
          <c:h val="0.74048000121221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analysis'!$N$273</c:f>
              <c:strCache>
                <c:ptCount val="1"/>
                <c:pt idx="0">
                  <c:v>Q5000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7.0633181890083607E-2"/>
                  <c:y val="-3.3243237612154017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/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analysis'!$N$275:$N$278</c:f>
              <c:numCache>
                <c:formatCode>0.0</c:formatCode>
                <c:ptCount val="4"/>
                <c:pt idx="0">
                  <c:v>145.07090984959029</c:v>
                </c:pt>
                <c:pt idx="1">
                  <c:v>0</c:v>
                </c:pt>
                <c:pt idx="2">
                  <c:v>2857.8320342625011</c:v>
                </c:pt>
                <c:pt idx="3">
                  <c:v>10736.078061451466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5-4D5E-92C9-5C50C90D2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1336"/>
        <c:axId val="557511728"/>
      </c:scatterChart>
      <c:valAx>
        <c:axId val="557511336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1728"/>
        <c:crosses val="autoZero"/>
        <c:crossBetween val="midCat"/>
      </c:valAx>
      <c:valAx>
        <c:axId val="557511728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/>
            </a:pPr>
            <a:endParaRPr lang="en-US"/>
          </a:p>
        </c:txPr>
        <c:crossAx val="557511336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 algn="ctr">
        <a:defRPr lang="en-US" sz="1050" b="0" i="0" u="none" strike="noStrike" kern="1200" baseline="0">
          <a:solidFill>
            <a:srgbClr val="000000"/>
          </a:solidFill>
          <a:latin typeface="Gill Sans MT" panose="020B0502020104020203" pitchFamily="34" charset="0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345424099142358"/>
          <c:y val="0"/>
        </c:manualLayout>
      </c:layout>
      <c:overlay val="0"/>
      <c:txPr>
        <a:bodyPr/>
        <a:lstStyle/>
        <a:p>
          <a:pPr algn="ctr" rtl="0">
            <a:defRPr lang="en-US" sz="1200" b="1" i="0" u="none" strike="noStrike" kern="1200" baseline="0">
              <a:solidFill>
                <a:srgbClr val="000000"/>
              </a:solidFill>
              <a:latin typeface="Gill Sans MT" panose="020B0502020104020203" pitchFamily="34" charset="0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8786543648802"/>
          <c:y val="0.11973621150699651"/>
          <c:w val="0.80770970110730622"/>
          <c:h val="0.73075960340911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analysis'!$O$273</c:f>
              <c:strCache>
                <c:ptCount val="1"/>
                <c:pt idx="0">
                  <c:v>Q10000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3.1950589388991001E-2"/>
                  <c:y val="-8.096847603116071E-2"/>
                </c:manualLayout>
              </c:layout>
              <c:numFmt formatCode="0.00000000" sourceLinked="0"/>
              <c:txPr>
                <a:bodyPr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Gill Sans MT" panose="020B0502020104020203" pitchFamily="34" charset="0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'Regional regression analysis'!$C$275:$C$278</c:f>
              <c:numCache>
                <c:formatCode>0.0</c:formatCode>
                <c:ptCount val="4"/>
                <c:pt idx="0">
                  <c:v>148.13999999999999</c:v>
                </c:pt>
                <c:pt idx="1">
                  <c:v>391.36</c:v>
                </c:pt>
                <c:pt idx="2">
                  <c:v>16396.2</c:v>
                </c:pt>
                <c:pt idx="3">
                  <c:v>17849.7</c:v>
                </c:pt>
              </c:numCache>
            </c:numRef>
          </c:xVal>
          <c:yVal>
            <c:numRef>
              <c:f>'Regional regression analysis'!$O$275:$O$278</c:f>
              <c:numCache>
                <c:formatCode>0.0</c:formatCode>
                <c:ptCount val="4"/>
                <c:pt idx="0">
                  <c:v>153.75711337504814</c:v>
                </c:pt>
                <c:pt idx="1">
                  <c:v>0</c:v>
                </c:pt>
                <c:pt idx="2">
                  <c:v>2987.462929682134</c:v>
                </c:pt>
                <c:pt idx="3">
                  <c:v>11626.531655402445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C-451E-99ED-8921109B9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9768"/>
        <c:axId val="557507024"/>
      </c:scatterChart>
      <c:valAx>
        <c:axId val="557509768"/>
        <c:scaling>
          <c:orientation val="minMax"/>
          <c:max val="1000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7024"/>
        <c:crosses val="autoZero"/>
        <c:crossBetween val="midCat"/>
      </c:valAx>
      <c:valAx>
        <c:axId val="55750702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algn="ctr">
              <a:defRPr lang="en-US" sz="1050" b="0" i="0" u="none" strike="noStrike" kern="1200" baseline="0">
                <a:solidFill>
                  <a:srgbClr val="000000"/>
                </a:solidFill>
                <a:latin typeface="Gill Sans MT" panose="020B0502020104020203" pitchFamily="34" charset="0"/>
                <a:ea typeface="Arial"/>
                <a:cs typeface="Arial"/>
              </a:defRPr>
            </a:pPr>
            <a:endParaRPr lang="en-US"/>
          </a:p>
        </c:txPr>
        <c:crossAx val="557509768"/>
        <c:crosses val="autoZero"/>
        <c:crossBetween val="midCat"/>
        <c:majorUnit val="2000"/>
      </c:valAx>
      <c:spPr>
        <a:solidFill>
          <a:srgbClr val="FFFFFF"/>
        </a:solidFill>
        <a:ln w="127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07268244357747"/>
          <c:y val="7.756145440295141E-2"/>
          <c:w val="0.72778099396013241"/>
          <c:h val="0.7310336806701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analysis'!$A$15</c:f>
              <c:strCache>
                <c:ptCount val="1"/>
                <c:pt idx="0">
                  <c:v>Gumbel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0.28917101117232819"/>
                  <c:y val="0.10684504242794893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analysis'!$C$227:$N$227</c:f>
            </c:numRef>
          </c:yVal>
          <c:smooth val="0"/>
          <c:extLst>
            <c:ext xmlns:c16="http://schemas.microsoft.com/office/drawing/2014/chart" uri="{C3380CC4-5D6E-409C-BE32-E72D297353CC}">
              <c16:uniqueId val="{00000000-6AF1-402B-A637-9123F30F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4048"/>
        <c:axId val="556481696"/>
      </c:scatterChart>
      <c:valAx>
        <c:axId val="5564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696"/>
        <c:crosses val="autoZero"/>
        <c:crossBetween val="midCat"/>
      </c:valAx>
      <c:valAx>
        <c:axId val="55648169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40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Log Pearson III</a:t>
            </a:r>
          </a:p>
        </c:rich>
      </c:tx>
      <c:layout>
        <c:manualLayout>
          <c:xMode val="edge"/>
          <c:yMode val="edge"/>
          <c:x val="0.40983444377145162"/>
          <c:y val="2.27921509811273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568122109502217"/>
          <c:y val="0.10502331044235912"/>
          <c:w val="0.75028436786922004"/>
          <c:h val="0.7393703456559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analysis'!$A$85</c:f>
              <c:strCache>
                <c:ptCount val="1"/>
                <c:pt idx="0">
                  <c:v>Log Pearson III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7.3567973062443068E-3"/>
                  <c:y val="0.11279866306966962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analysis'!$B$226:$N$226</c:f>
            </c:numRef>
          </c:yVal>
          <c:smooth val="0"/>
          <c:extLst>
            <c:ext xmlns:c16="http://schemas.microsoft.com/office/drawing/2014/chart" uri="{C3380CC4-5D6E-409C-BE32-E72D297353CC}">
              <c16:uniqueId val="{00000000-8DBE-46FE-842C-E01CE44ED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89144"/>
        <c:axId val="556480912"/>
      </c:scatterChart>
      <c:valAx>
        <c:axId val="55648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0912"/>
        <c:crosses val="autoZero"/>
        <c:crossBetween val="midCat"/>
      </c:valAx>
      <c:valAx>
        <c:axId val="55648091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91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40103176758078"/>
          <c:y val="0.13488231119702118"/>
          <c:w val="0.74184523486288356"/>
          <c:h val="0.71061073775670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'Regional regression analysis'!$A$59</c:f>
              <c:strCache>
                <c:ptCount val="1"/>
                <c:pt idx="0">
                  <c:v>Log normal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-0.17396741786587022"/>
                  <c:y val="-1.9341935970766777E-2"/>
                </c:manualLayout>
              </c:layout>
              <c:numFmt formatCode="General" sourceLinked="0"/>
            </c:trendlineLbl>
          </c:trendline>
          <c:xVal>
            <c:numRef>
              <c:f>'Regional regression analysis'!$B$224:$N$224</c:f>
            </c:numRef>
          </c:xVal>
          <c:yVal>
            <c:numRef>
              <c:f>'Regional regression analysis'!$B$225:$N$225</c:f>
            </c:numRef>
          </c:yVal>
          <c:smooth val="0"/>
          <c:extLst>
            <c:ext xmlns:c16="http://schemas.microsoft.com/office/drawing/2014/chart" uri="{C3380CC4-5D6E-409C-BE32-E72D297353CC}">
              <c16:uniqueId val="{00000000-C125-4237-812B-A43BDCCF4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90712"/>
        <c:axId val="556481304"/>
      </c:scatterChart>
      <c:valAx>
        <c:axId val="55649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81304"/>
        <c:crosses val="autoZero"/>
        <c:crossBetween val="midCat"/>
      </c:valAx>
      <c:valAx>
        <c:axId val="556481304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9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1647755057234"/>
          <c:y val="0.12328815062500749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4.1415925670888098E-4"/>
                  <c:y val="0.1993906926017808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0-4EB7-AAB2-341932233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5256"/>
        <c:axId val="557508984"/>
      </c:scatterChart>
      <c:valAx>
        <c:axId val="557515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08984"/>
        <c:crosses val="autoZero"/>
        <c:crossBetween val="midCat"/>
      </c:valAx>
      <c:valAx>
        <c:axId val="557508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5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09897077472075"/>
          <c:y val="0.10502331044235914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3.6993128667905321E-4"/>
                  <c:y val="0.1811258524191325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E-4468-871E-2F1B66774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2904"/>
        <c:axId val="557513688"/>
      </c:scatterChart>
      <c:valAx>
        <c:axId val="55751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3688"/>
        <c:crosses val="autoZero"/>
        <c:crossBetween val="midCat"/>
      </c:valAx>
      <c:valAx>
        <c:axId val="557513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29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0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82869171554887"/>
          <c:y val="0.12328815062500749"/>
          <c:w val="0.74922600619195068"/>
          <c:h val="0.57534503132594594"/>
        </c:manualLayout>
      </c:layout>
      <c:scatterChart>
        <c:scatterStyle val="lineMarker"/>
        <c:varyColors val="0"/>
        <c:ser>
          <c:idx val="0"/>
          <c:order val="0"/>
          <c:tx>
            <c:v>'Hongu Flood Analysis'!#REF!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wer"/>
            <c:dispRSqr val="1"/>
            <c:dispEq val="1"/>
            <c:trendlineLbl>
              <c:layout>
                <c:manualLayout>
                  <c:x val="9.9526149835297596E-4"/>
                  <c:y val="0.1445961720538357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3-40B3-962A-F7B8EA180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14472"/>
        <c:axId val="557508592"/>
      </c:scatterChart>
      <c:valAx>
        <c:axId val="55751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08592"/>
        <c:crosses val="autoZero"/>
        <c:crossBetween val="midCat"/>
      </c:valAx>
      <c:valAx>
        <c:axId val="55750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75144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44" r="0.75000000000000144" t="1" header="0.5" footer="0.5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chart" Target="../charts/chart30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13" Type="http://schemas.openxmlformats.org/officeDocument/2006/relationships/chart" Target="../charts/chart44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12" Type="http://schemas.openxmlformats.org/officeDocument/2006/relationships/chart" Target="../charts/chart4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11" Type="http://schemas.openxmlformats.org/officeDocument/2006/relationships/chart" Target="../charts/chart42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57.xml"/><Relationship Id="rId18" Type="http://schemas.openxmlformats.org/officeDocument/2006/relationships/chart" Target="../charts/chart62.xml"/><Relationship Id="rId26" Type="http://schemas.openxmlformats.org/officeDocument/2006/relationships/chart" Target="../charts/chart70.xml"/><Relationship Id="rId39" Type="http://schemas.openxmlformats.org/officeDocument/2006/relationships/chart" Target="../charts/chart83.xml"/><Relationship Id="rId21" Type="http://schemas.openxmlformats.org/officeDocument/2006/relationships/chart" Target="../charts/chart65.xml"/><Relationship Id="rId34" Type="http://schemas.openxmlformats.org/officeDocument/2006/relationships/chart" Target="../charts/chart78.xml"/><Relationship Id="rId7" Type="http://schemas.openxmlformats.org/officeDocument/2006/relationships/chart" Target="../charts/chart51.xml"/><Relationship Id="rId12" Type="http://schemas.openxmlformats.org/officeDocument/2006/relationships/chart" Target="../charts/chart56.xml"/><Relationship Id="rId17" Type="http://schemas.openxmlformats.org/officeDocument/2006/relationships/chart" Target="../charts/chart61.xml"/><Relationship Id="rId25" Type="http://schemas.openxmlformats.org/officeDocument/2006/relationships/chart" Target="../charts/chart69.xml"/><Relationship Id="rId33" Type="http://schemas.openxmlformats.org/officeDocument/2006/relationships/chart" Target="../charts/chart77.xml"/><Relationship Id="rId38" Type="http://schemas.openxmlformats.org/officeDocument/2006/relationships/chart" Target="../charts/chart82.xml"/><Relationship Id="rId2" Type="http://schemas.openxmlformats.org/officeDocument/2006/relationships/chart" Target="../charts/chart46.xml"/><Relationship Id="rId16" Type="http://schemas.openxmlformats.org/officeDocument/2006/relationships/chart" Target="../charts/chart60.xml"/><Relationship Id="rId20" Type="http://schemas.openxmlformats.org/officeDocument/2006/relationships/chart" Target="../charts/chart64.xml"/><Relationship Id="rId29" Type="http://schemas.openxmlformats.org/officeDocument/2006/relationships/chart" Target="../charts/chart73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11" Type="http://schemas.openxmlformats.org/officeDocument/2006/relationships/chart" Target="../charts/chart55.xml"/><Relationship Id="rId24" Type="http://schemas.openxmlformats.org/officeDocument/2006/relationships/chart" Target="../charts/chart68.xml"/><Relationship Id="rId32" Type="http://schemas.openxmlformats.org/officeDocument/2006/relationships/chart" Target="../charts/chart76.xml"/><Relationship Id="rId37" Type="http://schemas.openxmlformats.org/officeDocument/2006/relationships/chart" Target="../charts/chart81.xml"/><Relationship Id="rId5" Type="http://schemas.openxmlformats.org/officeDocument/2006/relationships/chart" Target="../charts/chart49.xml"/><Relationship Id="rId15" Type="http://schemas.openxmlformats.org/officeDocument/2006/relationships/chart" Target="../charts/chart59.xml"/><Relationship Id="rId23" Type="http://schemas.openxmlformats.org/officeDocument/2006/relationships/chart" Target="../charts/chart67.xml"/><Relationship Id="rId28" Type="http://schemas.openxmlformats.org/officeDocument/2006/relationships/chart" Target="../charts/chart72.xml"/><Relationship Id="rId36" Type="http://schemas.openxmlformats.org/officeDocument/2006/relationships/chart" Target="../charts/chart80.xml"/><Relationship Id="rId10" Type="http://schemas.openxmlformats.org/officeDocument/2006/relationships/chart" Target="../charts/chart54.xml"/><Relationship Id="rId19" Type="http://schemas.openxmlformats.org/officeDocument/2006/relationships/chart" Target="../charts/chart63.xml"/><Relationship Id="rId31" Type="http://schemas.openxmlformats.org/officeDocument/2006/relationships/chart" Target="../charts/chart75.xml"/><Relationship Id="rId4" Type="http://schemas.openxmlformats.org/officeDocument/2006/relationships/chart" Target="../charts/chart48.xml"/><Relationship Id="rId9" Type="http://schemas.openxmlformats.org/officeDocument/2006/relationships/chart" Target="../charts/chart53.xml"/><Relationship Id="rId14" Type="http://schemas.openxmlformats.org/officeDocument/2006/relationships/chart" Target="../charts/chart58.xml"/><Relationship Id="rId22" Type="http://schemas.openxmlformats.org/officeDocument/2006/relationships/chart" Target="../charts/chart66.xml"/><Relationship Id="rId27" Type="http://schemas.openxmlformats.org/officeDocument/2006/relationships/chart" Target="../charts/chart71.xml"/><Relationship Id="rId30" Type="http://schemas.openxmlformats.org/officeDocument/2006/relationships/chart" Target="../charts/chart74.xml"/><Relationship Id="rId35" Type="http://schemas.openxmlformats.org/officeDocument/2006/relationships/chart" Target="../charts/chart79.xml"/><Relationship Id="rId8" Type="http://schemas.openxmlformats.org/officeDocument/2006/relationships/chart" Target="../charts/chart52.xml"/><Relationship Id="rId3" Type="http://schemas.openxmlformats.org/officeDocument/2006/relationships/chart" Target="../charts/chart47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6.xml"/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409577</xdr:colOff>
      <xdr:row>29</xdr:row>
      <xdr:rowOff>68262</xdr:rowOff>
    </xdr:from>
    <xdr:to>
      <xdr:col>7</xdr:col>
      <xdr:colOff>508000</xdr:colOff>
      <xdr:row>45</xdr:row>
      <xdr:rowOff>222250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957262</xdr:colOff>
      <xdr:row>31</xdr:row>
      <xdr:rowOff>4761</xdr:rowOff>
    </xdr:from>
    <xdr:to>
      <xdr:col>11</xdr:col>
      <xdr:colOff>607218</xdr:colOff>
      <xdr:row>46</xdr:row>
      <xdr:rowOff>71437</xdr:rowOff>
    </xdr:to>
    <xdr:graphicFrame macro="">
      <xdr:nvGraphicFramePr>
        <xdr:cNvPr id="13773618" name="Chart 6">
          <a:extLst>
            <a:ext uri="{FF2B5EF4-FFF2-40B4-BE49-F238E27FC236}">
              <a16:creationId xmlns:a16="http://schemas.microsoft.com/office/drawing/2014/main" id="{00000000-0008-0000-0200-000032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814388</xdr:colOff>
      <xdr:row>31</xdr:row>
      <xdr:rowOff>23812</xdr:rowOff>
    </xdr:from>
    <xdr:to>
      <xdr:col>7</xdr:col>
      <xdr:colOff>559594</xdr:colOff>
      <xdr:row>46</xdr:row>
      <xdr:rowOff>95250</xdr:rowOff>
    </xdr:to>
    <xdr:graphicFrame macro="">
      <xdr:nvGraphicFramePr>
        <xdr:cNvPr id="13773619" name="Chart 6">
          <a:extLst>
            <a:ext uri="{FF2B5EF4-FFF2-40B4-BE49-F238E27FC236}">
              <a16:creationId xmlns:a16="http://schemas.microsoft.com/office/drawing/2014/main" id="{00000000-0008-0000-0200-000033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164305</xdr:colOff>
      <xdr:row>31</xdr:row>
      <xdr:rowOff>19049</xdr:rowOff>
    </xdr:from>
    <xdr:to>
      <xdr:col>3</xdr:col>
      <xdr:colOff>511967</xdr:colOff>
      <xdr:row>46</xdr:row>
      <xdr:rowOff>83344</xdr:rowOff>
    </xdr:to>
    <xdr:graphicFrame macro="">
      <xdr:nvGraphicFramePr>
        <xdr:cNvPr id="13773620" name="Chart 6">
          <a:extLst>
            <a:ext uri="{FF2B5EF4-FFF2-40B4-BE49-F238E27FC236}">
              <a16:creationId xmlns:a16="http://schemas.microsoft.com/office/drawing/2014/main" id="{00000000-0008-0000-0200-000034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1138238</xdr:colOff>
      <xdr:row>58</xdr:row>
      <xdr:rowOff>195263</xdr:rowOff>
    </xdr:from>
    <xdr:to>
      <xdr:col>7</xdr:col>
      <xdr:colOff>988218</xdr:colOff>
      <xdr:row>73</xdr:row>
      <xdr:rowOff>95250</xdr:rowOff>
    </xdr:to>
    <xdr:graphicFrame macro="">
      <xdr:nvGraphicFramePr>
        <xdr:cNvPr id="13773621" name="Chart 6">
          <a:extLst>
            <a:ext uri="{FF2B5EF4-FFF2-40B4-BE49-F238E27FC236}">
              <a16:creationId xmlns:a16="http://schemas.microsoft.com/office/drawing/2014/main" id="{00000000-0008-0000-0200-000035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614362</xdr:colOff>
      <xdr:row>58</xdr:row>
      <xdr:rowOff>138113</xdr:rowOff>
    </xdr:from>
    <xdr:to>
      <xdr:col>3</xdr:col>
      <xdr:colOff>500062</xdr:colOff>
      <xdr:row>73</xdr:row>
      <xdr:rowOff>83344</xdr:rowOff>
    </xdr:to>
    <xdr:graphicFrame macro="">
      <xdr:nvGraphicFramePr>
        <xdr:cNvPr id="13773622" name="Chart 6">
          <a:extLst>
            <a:ext uri="{FF2B5EF4-FFF2-40B4-BE49-F238E27FC236}">
              <a16:creationId xmlns:a16="http://schemas.microsoft.com/office/drawing/2014/main" id="{00000000-0008-0000-0200-000036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83</xdr:row>
      <xdr:rowOff>23812</xdr:rowOff>
    </xdr:from>
    <xdr:to>
      <xdr:col>11</xdr:col>
      <xdr:colOff>297656</xdr:colOff>
      <xdr:row>97</xdr:row>
      <xdr:rowOff>71438</xdr:rowOff>
    </xdr:to>
    <xdr:graphicFrame macro="">
      <xdr:nvGraphicFramePr>
        <xdr:cNvPr id="13773623" name="Chart 6">
          <a:extLst>
            <a:ext uri="{FF2B5EF4-FFF2-40B4-BE49-F238E27FC236}">
              <a16:creationId xmlns:a16="http://schemas.microsoft.com/office/drawing/2014/main" id="{00000000-0008-0000-0200-000037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7145</xdr:colOff>
      <xdr:row>83</xdr:row>
      <xdr:rowOff>35717</xdr:rowOff>
    </xdr:from>
    <xdr:to>
      <xdr:col>7</xdr:col>
      <xdr:colOff>797719</xdr:colOff>
      <xdr:row>97</xdr:row>
      <xdr:rowOff>95249</xdr:rowOff>
    </xdr:to>
    <xdr:graphicFrame macro="">
      <xdr:nvGraphicFramePr>
        <xdr:cNvPr id="13773624" name="Chart 6">
          <a:extLst>
            <a:ext uri="{FF2B5EF4-FFF2-40B4-BE49-F238E27FC236}">
              <a16:creationId xmlns:a16="http://schemas.microsoft.com/office/drawing/2014/main" id="{00000000-0008-0000-0200-000038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28574</xdr:colOff>
      <xdr:row>105</xdr:row>
      <xdr:rowOff>64294</xdr:rowOff>
    </xdr:from>
    <xdr:to>
      <xdr:col>11</xdr:col>
      <xdr:colOff>345281</xdr:colOff>
      <xdr:row>120</xdr:row>
      <xdr:rowOff>1</xdr:rowOff>
    </xdr:to>
    <xdr:graphicFrame macro="">
      <xdr:nvGraphicFramePr>
        <xdr:cNvPr id="13773625" name="Chart 6">
          <a:extLst>
            <a:ext uri="{FF2B5EF4-FFF2-40B4-BE49-F238E27FC236}">
              <a16:creationId xmlns:a16="http://schemas.microsoft.com/office/drawing/2014/main" id="{00000000-0008-0000-0200-000039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9525</xdr:colOff>
      <xdr:row>105</xdr:row>
      <xdr:rowOff>65994</xdr:rowOff>
    </xdr:from>
    <xdr:to>
      <xdr:col>7</xdr:col>
      <xdr:colOff>821530</xdr:colOff>
      <xdr:row>119</xdr:row>
      <xdr:rowOff>202406</xdr:rowOff>
    </xdr:to>
    <xdr:graphicFrame macro="">
      <xdr:nvGraphicFramePr>
        <xdr:cNvPr id="13773626" name="Chart 6">
          <a:extLst>
            <a:ext uri="{FF2B5EF4-FFF2-40B4-BE49-F238E27FC236}">
              <a16:creationId xmlns:a16="http://schemas.microsoft.com/office/drawing/2014/main" id="{00000000-0008-0000-0200-00003A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676955</xdr:colOff>
      <xdr:row>105</xdr:row>
      <xdr:rowOff>59531</xdr:rowOff>
    </xdr:from>
    <xdr:to>
      <xdr:col>3</xdr:col>
      <xdr:colOff>488156</xdr:colOff>
      <xdr:row>120</xdr:row>
      <xdr:rowOff>23813</xdr:rowOff>
    </xdr:to>
    <xdr:graphicFrame macro="">
      <xdr:nvGraphicFramePr>
        <xdr:cNvPr id="13773627" name="Chart 6">
          <a:extLst>
            <a:ext uri="{FF2B5EF4-FFF2-40B4-BE49-F238E27FC236}">
              <a16:creationId xmlns:a16="http://schemas.microsoft.com/office/drawing/2014/main" id="{00000000-0008-0000-0200-00003B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119063</xdr:colOff>
      <xdr:row>174</xdr:row>
      <xdr:rowOff>11906</xdr:rowOff>
    </xdr:from>
    <xdr:to>
      <xdr:col>11</xdr:col>
      <xdr:colOff>381000</xdr:colOff>
      <xdr:row>187</xdr:row>
      <xdr:rowOff>202406</xdr:rowOff>
    </xdr:to>
    <xdr:graphicFrame macro="">
      <xdr:nvGraphicFramePr>
        <xdr:cNvPr id="13773631" name="Chart 6">
          <a:extLst>
            <a:ext uri="{FF2B5EF4-FFF2-40B4-BE49-F238E27FC236}">
              <a16:creationId xmlns:a16="http://schemas.microsoft.com/office/drawing/2014/main" id="{00000000-0008-0000-0200-00003F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38441</xdr:colOff>
      <xdr:row>173</xdr:row>
      <xdr:rowOff>190498</xdr:rowOff>
    </xdr:from>
    <xdr:to>
      <xdr:col>7</xdr:col>
      <xdr:colOff>773906</xdr:colOff>
      <xdr:row>187</xdr:row>
      <xdr:rowOff>190500</xdr:rowOff>
    </xdr:to>
    <xdr:graphicFrame macro="">
      <xdr:nvGraphicFramePr>
        <xdr:cNvPr id="13773632" name="Chart 6">
          <a:extLst>
            <a:ext uri="{FF2B5EF4-FFF2-40B4-BE49-F238E27FC236}">
              <a16:creationId xmlns:a16="http://schemas.microsoft.com/office/drawing/2014/main" id="{00000000-0008-0000-0200-000040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740909</xdr:colOff>
      <xdr:row>173</xdr:row>
      <xdr:rowOff>154781</xdr:rowOff>
    </xdr:from>
    <xdr:to>
      <xdr:col>3</xdr:col>
      <xdr:colOff>619125</xdr:colOff>
      <xdr:row>187</xdr:row>
      <xdr:rowOff>178594</xdr:rowOff>
    </xdr:to>
    <xdr:graphicFrame macro="">
      <xdr:nvGraphicFramePr>
        <xdr:cNvPr id="13773633" name="Chart 6">
          <a:extLst>
            <a:ext uri="{FF2B5EF4-FFF2-40B4-BE49-F238E27FC236}">
              <a16:creationId xmlns:a16="http://schemas.microsoft.com/office/drawing/2014/main" id="{00000000-0008-0000-0200-000041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6803</xdr:colOff>
      <xdr:row>128</xdr:row>
      <xdr:rowOff>166688</xdr:rowOff>
    </xdr:from>
    <xdr:to>
      <xdr:col>11</xdr:col>
      <xdr:colOff>285750</xdr:colOff>
      <xdr:row>142</xdr:row>
      <xdr:rowOff>190500</xdr:rowOff>
    </xdr:to>
    <xdr:graphicFrame macro="">
      <xdr:nvGraphicFramePr>
        <xdr:cNvPr id="13773634" name="Chart 6">
          <a:extLst>
            <a:ext uri="{FF2B5EF4-FFF2-40B4-BE49-F238E27FC236}">
              <a16:creationId xmlns:a16="http://schemas.microsoft.com/office/drawing/2014/main" id="{00000000-0008-0000-0200-000042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24832</xdr:colOff>
      <xdr:row>128</xdr:row>
      <xdr:rowOff>148319</xdr:rowOff>
    </xdr:from>
    <xdr:to>
      <xdr:col>7</xdr:col>
      <xdr:colOff>702468</xdr:colOff>
      <xdr:row>142</xdr:row>
      <xdr:rowOff>178594</xdr:rowOff>
    </xdr:to>
    <xdr:graphicFrame macro="">
      <xdr:nvGraphicFramePr>
        <xdr:cNvPr id="13773635" name="Chart 6">
          <a:extLst>
            <a:ext uri="{FF2B5EF4-FFF2-40B4-BE49-F238E27FC236}">
              <a16:creationId xmlns:a16="http://schemas.microsoft.com/office/drawing/2014/main" id="{00000000-0008-0000-0200-000043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649743</xdr:colOff>
      <xdr:row>128</xdr:row>
      <xdr:rowOff>166686</xdr:rowOff>
    </xdr:from>
    <xdr:to>
      <xdr:col>3</xdr:col>
      <xdr:colOff>428626</xdr:colOff>
      <xdr:row>142</xdr:row>
      <xdr:rowOff>190499</xdr:rowOff>
    </xdr:to>
    <xdr:graphicFrame macro="">
      <xdr:nvGraphicFramePr>
        <xdr:cNvPr id="13773636" name="Chart 6">
          <a:extLst>
            <a:ext uri="{FF2B5EF4-FFF2-40B4-BE49-F238E27FC236}">
              <a16:creationId xmlns:a16="http://schemas.microsoft.com/office/drawing/2014/main" id="{00000000-0008-0000-0200-000044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583407</xdr:colOff>
      <xdr:row>83</xdr:row>
      <xdr:rowOff>23811</xdr:rowOff>
    </xdr:from>
    <xdr:to>
      <xdr:col>2</xdr:col>
      <xdr:colOff>973667</xdr:colOff>
      <xdr:row>97</xdr:row>
      <xdr:rowOff>95250</xdr:rowOff>
    </xdr:to>
    <xdr:graphicFrame macro="">
      <xdr:nvGraphicFramePr>
        <xdr:cNvPr id="13773637" name="Chart 6">
          <a:extLst>
            <a:ext uri="{FF2B5EF4-FFF2-40B4-BE49-F238E27FC236}">
              <a16:creationId xmlns:a16="http://schemas.microsoft.com/office/drawing/2014/main" id="{00000000-0008-0000-0200-000045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11907</xdr:colOff>
      <xdr:row>58</xdr:row>
      <xdr:rowOff>166688</xdr:rowOff>
    </xdr:from>
    <xdr:to>
      <xdr:col>11</xdr:col>
      <xdr:colOff>321469</xdr:colOff>
      <xdr:row>73</xdr:row>
      <xdr:rowOff>95250</xdr:rowOff>
    </xdr:to>
    <xdr:graphicFrame macro="">
      <xdr:nvGraphicFramePr>
        <xdr:cNvPr id="13773638" name="Chart 6">
          <a:extLst>
            <a:ext uri="{FF2B5EF4-FFF2-40B4-BE49-F238E27FC236}">
              <a16:creationId xmlns:a16="http://schemas.microsoft.com/office/drawing/2014/main" id="{00000000-0008-0000-0200-0000462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359833</xdr:colOff>
      <xdr:row>299</xdr:row>
      <xdr:rowOff>14173</xdr:rowOff>
    </xdr:from>
    <xdr:to>
      <xdr:col>3</xdr:col>
      <xdr:colOff>328084</xdr:colOff>
      <xdr:row>312</xdr:row>
      <xdr:rowOff>162719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119061</xdr:colOff>
      <xdr:row>198</xdr:row>
      <xdr:rowOff>107155</xdr:rowOff>
    </xdr:from>
    <xdr:to>
      <xdr:col>11</xdr:col>
      <xdr:colOff>428624</xdr:colOff>
      <xdr:row>214</xdr:row>
      <xdr:rowOff>107155</xdr:rowOff>
    </xdr:to>
    <xdr:graphicFrame macro="">
      <xdr:nvGraphicFramePr>
        <xdr:cNvPr id="36" name="Chart 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47626</xdr:colOff>
      <xdr:row>198</xdr:row>
      <xdr:rowOff>95250</xdr:rowOff>
    </xdr:from>
    <xdr:to>
      <xdr:col>7</xdr:col>
      <xdr:colOff>1000125</xdr:colOff>
      <xdr:row>214</xdr:row>
      <xdr:rowOff>107157</xdr:rowOff>
    </xdr:to>
    <xdr:graphicFrame macro="">
      <xdr:nvGraphicFramePr>
        <xdr:cNvPr id="37" name="Chart 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750094</xdr:colOff>
      <xdr:row>198</xdr:row>
      <xdr:rowOff>119064</xdr:rowOff>
    </xdr:from>
    <xdr:to>
      <xdr:col>3</xdr:col>
      <xdr:colOff>654844</xdr:colOff>
      <xdr:row>214</xdr:row>
      <xdr:rowOff>119062</xdr:rowOff>
    </xdr:to>
    <xdr:graphicFrame macro="">
      <xdr:nvGraphicFramePr>
        <xdr:cNvPr id="38" name="Chart 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109198</xdr:colOff>
      <xdr:row>150</xdr:row>
      <xdr:rowOff>142875</xdr:rowOff>
    </xdr:from>
    <xdr:to>
      <xdr:col>11</xdr:col>
      <xdr:colOff>369093</xdr:colOff>
      <xdr:row>164</xdr:row>
      <xdr:rowOff>190500</xdr:rowOff>
    </xdr:to>
    <xdr:graphicFrame macro="">
      <xdr:nvGraphicFramePr>
        <xdr:cNvPr id="39" name="Chart 6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</xdr:col>
      <xdr:colOff>71437</xdr:colOff>
      <xdr:row>150</xdr:row>
      <xdr:rowOff>119061</xdr:rowOff>
    </xdr:from>
    <xdr:to>
      <xdr:col>7</xdr:col>
      <xdr:colOff>916780</xdr:colOff>
      <xdr:row>165</xdr:row>
      <xdr:rowOff>0</xdr:rowOff>
    </xdr:to>
    <xdr:graphicFrame macro="">
      <xdr:nvGraphicFramePr>
        <xdr:cNvPr id="40" name="Chart 6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738189</xdr:colOff>
      <xdr:row>150</xdr:row>
      <xdr:rowOff>142875</xdr:rowOff>
    </xdr:from>
    <xdr:to>
      <xdr:col>3</xdr:col>
      <xdr:colOff>571500</xdr:colOff>
      <xdr:row>164</xdr:row>
      <xdr:rowOff>178594</xdr:rowOff>
    </xdr:to>
    <xdr:graphicFrame macro="">
      <xdr:nvGraphicFramePr>
        <xdr:cNvPr id="41" name="Chart 6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1067594</xdr:colOff>
      <xdr:row>299</xdr:row>
      <xdr:rowOff>15872</xdr:rowOff>
    </xdr:from>
    <xdr:to>
      <xdr:col>8</xdr:col>
      <xdr:colOff>771260</xdr:colOff>
      <xdr:row>312</xdr:row>
      <xdr:rowOff>174624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857250</xdr:colOff>
      <xdr:row>298</xdr:row>
      <xdr:rowOff>206375</xdr:rowOff>
    </xdr:from>
    <xdr:to>
      <xdr:col>13</xdr:col>
      <xdr:colOff>976312</xdr:colOff>
      <xdr:row>312</xdr:row>
      <xdr:rowOff>174625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</xdr:col>
      <xdr:colOff>663346</xdr:colOff>
      <xdr:row>226</xdr:row>
      <xdr:rowOff>25512</xdr:rowOff>
    </xdr:from>
    <xdr:to>
      <xdr:col>11</xdr:col>
      <xdr:colOff>380999</xdr:colOff>
      <xdr:row>242</xdr:row>
      <xdr:rowOff>25512</xdr:rowOff>
    </xdr:to>
    <xdr:graphicFrame macro="">
      <xdr:nvGraphicFramePr>
        <xdr:cNvPr id="51" name="Chart 6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823234</xdr:colOff>
      <xdr:row>226</xdr:row>
      <xdr:rowOff>54429</xdr:rowOff>
    </xdr:from>
    <xdr:to>
      <xdr:col>6</xdr:col>
      <xdr:colOff>130629</xdr:colOff>
      <xdr:row>242</xdr:row>
      <xdr:rowOff>66336</xdr:rowOff>
    </xdr:to>
    <xdr:graphicFrame macro="">
      <xdr:nvGraphicFramePr>
        <xdr:cNvPr id="52" name="Chart 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547688</xdr:colOff>
      <xdr:row>226</xdr:row>
      <xdr:rowOff>130968</xdr:rowOff>
    </xdr:from>
    <xdr:to>
      <xdr:col>2</xdr:col>
      <xdr:colOff>404813</xdr:colOff>
      <xdr:row>242</xdr:row>
      <xdr:rowOff>11906</xdr:rowOff>
    </xdr:to>
    <xdr:graphicFrame macro="">
      <xdr:nvGraphicFramePr>
        <xdr:cNvPr id="53" name="Chart 6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017FB0B-5A4C-4260-BA5D-E7CD0FD6597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0.39641</cdr:x>
      <cdr:y>0.90867</cdr:y>
    </cdr:from>
    <cdr:to>
      <cdr:x>0.75535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79545" y="2870604"/>
          <a:ext cx="1430241" cy="288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0.11583</cdr:y>
    </cdr:from>
    <cdr:to>
      <cdr:x>0.05897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784080" y="1150002"/>
          <a:ext cx="1803134" cy="234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0.01641</cdr:x>
      <cdr:y>0.11354</cdr:y>
    </cdr:from>
    <cdr:to>
      <cdr:x>0.06138</cdr:x>
      <cdr:y>0.68431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5717" y="1130516"/>
          <a:ext cx="1748768" cy="183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0.41221</cdr:x>
      <cdr:y>0.89955</cdr:y>
    </cdr:from>
    <cdr:to>
      <cdr:x>0.757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81752" y="2756109"/>
          <a:ext cx="1406700" cy="30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2C88964-6E1C-4B64-B3AC-CF8FE20841B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E07D5071-874C-4F36-9BDD-54B22B2F82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23B0579-EC99-4EBC-8F6A-F136B0FEA47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B00F26A8-7765-43DA-9F6E-D3FF004A9E0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8F60BE80-93DE-4990-9062-A47BB3E44B6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1D833621-A431-46C0-B57C-99E273D0C3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4EEE3A9-9F10-403E-92D5-3F01F3BB3B5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05FC2E8-9F44-4802-B52F-E7A98186DE4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6.10833E-7</cdr:x>
      <cdr:y>0.0837</cdr:y>
    </cdr:from>
    <cdr:to>
      <cdr:x>0.04497</cdr:x>
      <cdr:y>0.65447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904962" y="1191965"/>
          <a:ext cx="1957169" cy="1472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488856</xdr:colOff>
      <xdr:row>15</xdr:row>
      <xdr:rowOff>700</xdr:rowOff>
    </xdr:from>
    <xdr:to>
      <xdr:col>11</xdr:col>
      <xdr:colOff>683557</xdr:colOff>
      <xdr:row>27</xdr:row>
      <xdr:rowOff>145675</xdr:rowOff>
    </xdr:to>
    <xdr:graphicFrame macro="">
      <xdr:nvGraphicFramePr>
        <xdr:cNvPr id="16" name="Chart 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3</xdr:col>
      <xdr:colOff>37819</xdr:colOff>
      <xdr:row>27</xdr:row>
      <xdr:rowOff>144975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89647</xdr:colOff>
      <xdr:row>15</xdr:row>
      <xdr:rowOff>0</xdr:rowOff>
    </xdr:from>
    <xdr:to>
      <xdr:col>7</xdr:col>
      <xdr:colOff>441230</xdr:colOff>
      <xdr:row>27</xdr:row>
      <xdr:rowOff>144975</xdr:rowOff>
    </xdr:to>
    <xdr:graphicFrame macro="">
      <xdr:nvGraphicFramePr>
        <xdr:cNvPr id="20" name="Chart 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769003</xdr:colOff>
      <xdr:row>39</xdr:row>
      <xdr:rowOff>1</xdr:rowOff>
    </xdr:from>
    <xdr:to>
      <xdr:col>12</xdr:col>
      <xdr:colOff>190498</xdr:colOff>
      <xdr:row>52</xdr:row>
      <xdr:rowOff>179295</xdr:rowOff>
    </xdr:to>
    <xdr:graphicFrame macro="">
      <xdr:nvGraphicFramePr>
        <xdr:cNvPr id="21" name="Chart 6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39</xdr:row>
      <xdr:rowOff>32919</xdr:rowOff>
    </xdr:from>
    <xdr:to>
      <xdr:col>3</xdr:col>
      <xdr:colOff>112059</xdr:colOff>
      <xdr:row>53</xdr:row>
      <xdr:rowOff>33618</xdr:rowOff>
    </xdr:to>
    <xdr:graphicFrame macro="">
      <xdr:nvGraphicFramePr>
        <xdr:cNvPr id="22" name="Chart 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190500</xdr:colOff>
      <xdr:row>39</xdr:row>
      <xdr:rowOff>10507</xdr:rowOff>
    </xdr:from>
    <xdr:to>
      <xdr:col>7</xdr:col>
      <xdr:colOff>549088</xdr:colOff>
      <xdr:row>53</xdr:row>
      <xdr:rowOff>44824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537882</xdr:colOff>
      <xdr:row>106</xdr:row>
      <xdr:rowOff>57150</xdr:rowOff>
    </xdr:from>
    <xdr:to>
      <xdr:col>21</xdr:col>
      <xdr:colOff>437031</xdr:colOff>
      <xdr:row>135</xdr:row>
      <xdr:rowOff>100854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769003</xdr:colOff>
      <xdr:row>63</xdr:row>
      <xdr:rowOff>1</xdr:rowOff>
    </xdr:from>
    <xdr:to>
      <xdr:col>12</xdr:col>
      <xdr:colOff>190498</xdr:colOff>
      <xdr:row>76</xdr:row>
      <xdr:rowOff>179295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63</xdr:row>
      <xdr:rowOff>32919</xdr:rowOff>
    </xdr:from>
    <xdr:to>
      <xdr:col>3</xdr:col>
      <xdr:colOff>112059</xdr:colOff>
      <xdr:row>77</xdr:row>
      <xdr:rowOff>33618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190500</xdr:colOff>
      <xdr:row>63</xdr:row>
      <xdr:rowOff>10507</xdr:rowOff>
    </xdr:from>
    <xdr:to>
      <xdr:col>7</xdr:col>
      <xdr:colOff>549088</xdr:colOff>
      <xdr:row>77</xdr:row>
      <xdr:rowOff>44824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634532</xdr:colOff>
      <xdr:row>86</xdr:row>
      <xdr:rowOff>89649</xdr:rowOff>
    </xdr:from>
    <xdr:to>
      <xdr:col>13</xdr:col>
      <xdr:colOff>78439</xdr:colOff>
      <xdr:row>100</xdr:row>
      <xdr:rowOff>78443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D8373892-9697-46F7-9E17-F95CD6DD2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86</xdr:row>
      <xdr:rowOff>32919</xdr:rowOff>
    </xdr:from>
    <xdr:to>
      <xdr:col>3</xdr:col>
      <xdr:colOff>112059</xdr:colOff>
      <xdr:row>100</xdr:row>
      <xdr:rowOff>33618</xdr:rowOff>
    </xdr:to>
    <xdr:graphicFrame macro="">
      <xdr:nvGraphicFramePr>
        <xdr:cNvPr id="13" name="Chart 6">
          <a:extLst>
            <a:ext uri="{FF2B5EF4-FFF2-40B4-BE49-F238E27FC236}">
              <a16:creationId xmlns:a16="http://schemas.microsoft.com/office/drawing/2014/main" id="{4E78A392-4EEA-41C0-8D9C-E8015A39A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134470</xdr:colOff>
      <xdr:row>86</xdr:row>
      <xdr:rowOff>10507</xdr:rowOff>
    </xdr:from>
    <xdr:to>
      <xdr:col>8</xdr:col>
      <xdr:colOff>392205</xdr:colOff>
      <xdr:row>100</xdr:row>
      <xdr:rowOff>44824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C238243D-520C-4740-8A8C-62D1F9696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C2B659C-91C1-4535-B28C-A800FF224D8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8B8D408B-DB1C-452B-81C9-103E135F724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D326FFD2-FC1D-4001-B050-B0F5D8F7F4B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70D50223-6301-4499-8342-A1D593AABE9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7EF98EF-EA62-4E33-A838-4AC7F81F9D4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D9E2F91-BD4D-4CAA-B59F-DFC2AAB4E5A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67CBA48-1F65-439C-A92E-244CE8B5A1B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C085C08-C8D2-4352-82BA-B60F230EEC3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1931A5B-F5E1-401A-B556-8B741E00E71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67CBA48-1F65-439C-A92E-244CE8B5A1B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0.26099</cdr:x>
      <cdr:y>0.92538</cdr:y>
    </cdr:from>
    <cdr:to>
      <cdr:x>0.80279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6598" y="2622875"/>
          <a:ext cx="1653683" cy="2115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CC085C08-C8D2-4352-82BA-B60F230EEC3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0.30505</cdr:x>
      <cdr:y>0.91352</cdr:y>
    </cdr:from>
    <cdr:to>
      <cdr:x>0.84685</cdr:x>
      <cdr:y>0.98023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1069" y="2589257"/>
          <a:ext cx="1653683" cy="189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41931A5B-F5E1-401A-B556-8B741E00E71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957262</xdr:colOff>
      <xdr:row>16</xdr:row>
      <xdr:rowOff>4761</xdr:rowOff>
    </xdr:from>
    <xdr:to>
      <xdr:col>11</xdr:col>
      <xdr:colOff>607218</xdr:colOff>
      <xdr:row>31</xdr:row>
      <xdr:rowOff>71437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814388</xdr:colOff>
      <xdr:row>16</xdr:row>
      <xdr:rowOff>23812</xdr:rowOff>
    </xdr:from>
    <xdr:to>
      <xdr:col>7</xdr:col>
      <xdr:colOff>559594</xdr:colOff>
      <xdr:row>31</xdr:row>
      <xdr:rowOff>95250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164305</xdr:colOff>
      <xdr:row>16</xdr:row>
      <xdr:rowOff>19049</xdr:rowOff>
    </xdr:from>
    <xdr:to>
      <xdr:col>3</xdr:col>
      <xdr:colOff>511967</xdr:colOff>
      <xdr:row>31</xdr:row>
      <xdr:rowOff>83344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1592037</xdr:colOff>
      <xdr:row>62</xdr:row>
      <xdr:rowOff>109538</xdr:rowOff>
    </xdr:from>
    <xdr:to>
      <xdr:col>4</xdr:col>
      <xdr:colOff>666751</xdr:colOff>
      <xdr:row>77</xdr:row>
      <xdr:rowOff>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110899</xdr:colOff>
      <xdr:row>62</xdr:row>
      <xdr:rowOff>70077</xdr:rowOff>
    </xdr:from>
    <xdr:to>
      <xdr:col>1</xdr:col>
      <xdr:colOff>1464130</xdr:colOff>
      <xdr:row>77</xdr:row>
      <xdr:rowOff>15308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816429</xdr:colOff>
      <xdr:row>86</xdr:row>
      <xdr:rowOff>200705</xdr:rowOff>
    </xdr:from>
    <xdr:to>
      <xdr:col>12</xdr:col>
      <xdr:colOff>163286</xdr:colOff>
      <xdr:row>101</xdr:row>
      <xdr:rowOff>149678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728325</xdr:colOff>
      <xdr:row>87</xdr:row>
      <xdr:rowOff>49324</xdr:rowOff>
    </xdr:from>
    <xdr:to>
      <xdr:col>6</xdr:col>
      <xdr:colOff>35720</xdr:colOff>
      <xdr:row>101</xdr:row>
      <xdr:rowOff>68035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28573</xdr:colOff>
      <xdr:row>109</xdr:row>
      <xdr:rowOff>64294</xdr:rowOff>
    </xdr:from>
    <xdr:to>
      <xdr:col>12</xdr:col>
      <xdr:colOff>571499</xdr:colOff>
      <xdr:row>124</xdr:row>
      <xdr:rowOff>1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9525</xdr:colOff>
      <xdr:row>109</xdr:row>
      <xdr:rowOff>65994</xdr:rowOff>
    </xdr:from>
    <xdr:to>
      <xdr:col>7</xdr:col>
      <xdr:colOff>821530</xdr:colOff>
      <xdr:row>123</xdr:row>
      <xdr:rowOff>202406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676955</xdr:colOff>
      <xdr:row>109</xdr:row>
      <xdr:rowOff>59531</xdr:rowOff>
    </xdr:from>
    <xdr:to>
      <xdr:col>3</xdr:col>
      <xdr:colOff>488156</xdr:colOff>
      <xdr:row>124</xdr:row>
      <xdr:rowOff>23813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64634</xdr:colOff>
      <xdr:row>178</xdr:row>
      <xdr:rowOff>39120</xdr:rowOff>
    </xdr:from>
    <xdr:to>
      <xdr:col>11</xdr:col>
      <xdr:colOff>666749</xdr:colOff>
      <xdr:row>192</xdr:row>
      <xdr:rowOff>11905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1235870</xdr:colOff>
      <xdr:row>178</xdr:row>
      <xdr:rowOff>13604</xdr:rowOff>
    </xdr:from>
    <xdr:to>
      <xdr:col>6</xdr:col>
      <xdr:colOff>666750</xdr:colOff>
      <xdr:row>192</xdr:row>
      <xdr:rowOff>13606</xdr:rowOff>
    </xdr:to>
    <xdr:graphicFrame macro="">
      <xdr:nvGraphicFramePr>
        <xdr:cNvPr id="13" name="Chart 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740909</xdr:colOff>
      <xdr:row>177</xdr:row>
      <xdr:rowOff>154781</xdr:rowOff>
    </xdr:from>
    <xdr:to>
      <xdr:col>2</xdr:col>
      <xdr:colOff>748393</xdr:colOff>
      <xdr:row>191</xdr:row>
      <xdr:rowOff>178594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6802</xdr:colOff>
      <xdr:row>132</xdr:row>
      <xdr:rowOff>98652</xdr:rowOff>
    </xdr:from>
    <xdr:to>
      <xdr:col>11</xdr:col>
      <xdr:colOff>666749</xdr:colOff>
      <xdr:row>146</xdr:row>
      <xdr:rowOff>122464</xdr:rowOff>
    </xdr:to>
    <xdr:graphicFrame macro="">
      <xdr:nvGraphicFramePr>
        <xdr:cNvPr id="15" name="Chart 6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1088572</xdr:colOff>
      <xdr:row>132</xdr:row>
      <xdr:rowOff>148319</xdr:rowOff>
    </xdr:from>
    <xdr:to>
      <xdr:col>6</xdr:col>
      <xdr:colOff>612322</xdr:colOff>
      <xdr:row>146</xdr:row>
      <xdr:rowOff>178594</xdr:rowOff>
    </xdr:to>
    <xdr:graphicFrame macro="">
      <xdr:nvGraphicFramePr>
        <xdr:cNvPr id="16" name="Chart 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649743</xdr:colOff>
      <xdr:row>132</xdr:row>
      <xdr:rowOff>166686</xdr:rowOff>
    </xdr:from>
    <xdr:to>
      <xdr:col>2</xdr:col>
      <xdr:colOff>707572</xdr:colOff>
      <xdr:row>146</xdr:row>
      <xdr:rowOff>190499</xdr:rowOff>
    </xdr:to>
    <xdr:graphicFrame macro="">
      <xdr:nvGraphicFramePr>
        <xdr:cNvPr id="17" name="Chart 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583408</xdr:colOff>
      <xdr:row>87</xdr:row>
      <xdr:rowOff>23811</xdr:rowOff>
    </xdr:from>
    <xdr:to>
      <xdr:col>2</xdr:col>
      <xdr:colOff>394608</xdr:colOff>
      <xdr:row>101</xdr:row>
      <xdr:rowOff>95250</xdr:rowOff>
    </xdr:to>
    <xdr:graphicFrame macro="">
      <xdr:nvGraphicFramePr>
        <xdr:cNvPr id="18" name="Chart 6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814728</xdr:colOff>
      <xdr:row>62</xdr:row>
      <xdr:rowOff>136072</xdr:rowOff>
    </xdr:from>
    <xdr:to>
      <xdr:col>8</xdr:col>
      <xdr:colOff>367393</xdr:colOff>
      <xdr:row>77</xdr:row>
      <xdr:rowOff>0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663346</xdr:colOff>
      <xdr:row>202</xdr:row>
      <xdr:rowOff>25512</xdr:rowOff>
    </xdr:from>
    <xdr:to>
      <xdr:col>11</xdr:col>
      <xdr:colOff>380999</xdr:colOff>
      <xdr:row>218</xdr:row>
      <xdr:rowOff>25512</xdr:rowOff>
    </xdr:to>
    <xdr:graphicFrame macro="">
      <xdr:nvGraphicFramePr>
        <xdr:cNvPr id="21" name="Chart 6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823234</xdr:colOff>
      <xdr:row>202</xdr:row>
      <xdr:rowOff>54429</xdr:rowOff>
    </xdr:from>
    <xdr:to>
      <xdr:col>6</xdr:col>
      <xdr:colOff>130629</xdr:colOff>
      <xdr:row>218</xdr:row>
      <xdr:rowOff>66336</xdr:rowOff>
    </xdr:to>
    <xdr:graphicFrame macro="">
      <xdr:nvGraphicFramePr>
        <xdr:cNvPr id="22" name="Chart 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750094</xdr:colOff>
      <xdr:row>202</xdr:row>
      <xdr:rowOff>119064</xdr:rowOff>
    </xdr:from>
    <xdr:to>
      <xdr:col>2</xdr:col>
      <xdr:colOff>353786</xdr:colOff>
      <xdr:row>218</xdr:row>
      <xdr:rowOff>119062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340</xdr:colOff>
      <xdr:row>154</xdr:row>
      <xdr:rowOff>74839</xdr:rowOff>
    </xdr:from>
    <xdr:to>
      <xdr:col>11</xdr:col>
      <xdr:colOff>598713</xdr:colOff>
      <xdr:row>168</xdr:row>
      <xdr:rowOff>122464</xdr:rowOff>
    </xdr:to>
    <xdr:graphicFrame macro="">
      <xdr:nvGraphicFramePr>
        <xdr:cNvPr id="24" name="Chart 6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1078366</xdr:colOff>
      <xdr:row>154</xdr:row>
      <xdr:rowOff>78239</xdr:rowOff>
    </xdr:from>
    <xdr:to>
      <xdr:col>6</xdr:col>
      <xdr:colOff>544286</xdr:colOff>
      <xdr:row>168</xdr:row>
      <xdr:rowOff>176892</xdr:rowOff>
    </xdr:to>
    <xdr:graphicFrame macro="">
      <xdr:nvGraphicFramePr>
        <xdr:cNvPr id="25" name="Chart 6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561297</xdr:colOff>
      <xdr:row>154</xdr:row>
      <xdr:rowOff>142875</xdr:rowOff>
    </xdr:from>
    <xdr:to>
      <xdr:col>2</xdr:col>
      <xdr:colOff>734786</xdr:colOff>
      <xdr:row>168</xdr:row>
      <xdr:rowOff>178594</xdr:rowOff>
    </xdr:to>
    <xdr:graphicFrame macro="">
      <xdr:nvGraphicFramePr>
        <xdr:cNvPr id="26" name="Chart 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122465</xdr:colOff>
      <xdr:row>281</xdr:row>
      <xdr:rowOff>21168</xdr:rowOff>
    </xdr:from>
    <xdr:to>
      <xdr:col>1</xdr:col>
      <xdr:colOff>1755322</xdr:colOff>
      <xdr:row>292</xdr:row>
      <xdr:rowOff>116721</xdr:rowOff>
    </xdr:to>
    <xdr:graphicFrame macro="">
      <xdr:nvGraphicFramePr>
        <xdr:cNvPr id="28" name="Chart 5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90716</xdr:colOff>
      <xdr:row>280</xdr:row>
      <xdr:rowOff>143630</xdr:rowOff>
    </xdr:from>
    <xdr:to>
      <xdr:col>5</xdr:col>
      <xdr:colOff>1512</xdr:colOff>
      <xdr:row>292</xdr:row>
      <xdr:rowOff>21469</xdr:rowOff>
    </xdr:to>
    <xdr:graphicFrame macro="">
      <xdr:nvGraphicFramePr>
        <xdr:cNvPr id="29" name="Chart 5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68036</xdr:colOff>
      <xdr:row>290</xdr:row>
      <xdr:rowOff>195036</xdr:rowOff>
    </xdr:from>
    <xdr:to>
      <xdr:col>1</xdr:col>
      <xdr:colOff>1708452</xdr:colOff>
      <xdr:row>302</xdr:row>
      <xdr:rowOff>181732</xdr:rowOff>
    </xdr:to>
    <xdr:graphicFrame macro="">
      <xdr:nvGraphicFramePr>
        <xdr:cNvPr id="30" name="Chart 5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1755322</xdr:colOff>
      <xdr:row>290</xdr:row>
      <xdr:rowOff>190500</xdr:rowOff>
    </xdr:from>
    <xdr:to>
      <xdr:col>4</xdr:col>
      <xdr:colOff>979714</xdr:colOff>
      <xdr:row>302</xdr:row>
      <xdr:rowOff>176893</xdr:rowOff>
    </xdr:to>
    <xdr:graphicFrame macro="">
      <xdr:nvGraphicFramePr>
        <xdr:cNvPr id="31" name="Chart 5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63501</xdr:colOff>
      <xdr:row>302</xdr:row>
      <xdr:rowOff>204108</xdr:rowOff>
    </xdr:from>
    <xdr:to>
      <xdr:col>1</xdr:col>
      <xdr:colOff>1700894</xdr:colOff>
      <xdr:row>314</xdr:row>
      <xdr:rowOff>109161</xdr:rowOff>
    </xdr:to>
    <xdr:graphicFrame macro="">
      <xdr:nvGraphicFramePr>
        <xdr:cNvPr id="32" name="Chart 5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</xdr:col>
      <xdr:colOff>1753811</xdr:colOff>
      <xdr:row>302</xdr:row>
      <xdr:rowOff>204109</xdr:rowOff>
    </xdr:from>
    <xdr:to>
      <xdr:col>4</xdr:col>
      <xdr:colOff>973667</xdr:colOff>
      <xdr:row>314</xdr:row>
      <xdr:rowOff>109162</xdr:rowOff>
    </xdr:to>
    <xdr:graphicFrame macro="">
      <xdr:nvGraphicFramePr>
        <xdr:cNvPr id="33" name="Chart 5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78619</xdr:colOff>
      <xdr:row>314</xdr:row>
      <xdr:rowOff>136070</xdr:rowOff>
    </xdr:from>
    <xdr:to>
      <xdr:col>1</xdr:col>
      <xdr:colOff>1714500</xdr:colOff>
      <xdr:row>326</xdr:row>
      <xdr:rowOff>81641</xdr:rowOff>
    </xdr:to>
    <xdr:graphicFrame macro="">
      <xdr:nvGraphicFramePr>
        <xdr:cNvPr id="34" name="Chart 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1755323</xdr:colOff>
      <xdr:row>314</xdr:row>
      <xdr:rowOff>136073</xdr:rowOff>
    </xdr:from>
    <xdr:to>
      <xdr:col>4</xdr:col>
      <xdr:colOff>980168</xdr:colOff>
      <xdr:row>326</xdr:row>
      <xdr:rowOff>80888</xdr:rowOff>
    </xdr:to>
    <xdr:graphicFrame macro="">
      <xdr:nvGraphicFramePr>
        <xdr:cNvPr id="35" name="Chart 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39307</xdr:colOff>
      <xdr:row>328</xdr:row>
      <xdr:rowOff>204108</xdr:rowOff>
    </xdr:from>
    <xdr:to>
      <xdr:col>1</xdr:col>
      <xdr:colOff>1640414</xdr:colOff>
      <xdr:row>341</xdr:row>
      <xdr:rowOff>13606</xdr:rowOff>
    </xdr:to>
    <xdr:graphicFrame macro="">
      <xdr:nvGraphicFramePr>
        <xdr:cNvPr id="36" name="Chart 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</xdr:col>
      <xdr:colOff>1805667</xdr:colOff>
      <xdr:row>328</xdr:row>
      <xdr:rowOff>209551</xdr:rowOff>
    </xdr:from>
    <xdr:to>
      <xdr:col>4</xdr:col>
      <xdr:colOff>1061355</xdr:colOff>
      <xdr:row>341</xdr:row>
      <xdr:rowOff>0</xdr:rowOff>
    </xdr:to>
    <xdr:graphicFrame macro="">
      <xdr:nvGraphicFramePr>
        <xdr:cNvPr id="37" name="Chart 5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344</xdr:row>
      <xdr:rowOff>54430</xdr:rowOff>
    </xdr:from>
    <xdr:to>
      <xdr:col>1</xdr:col>
      <xdr:colOff>1572676</xdr:colOff>
      <xdr:row>356</xdr:row>
      <xdr:rowOff>81642</xdr:rowOff>
    </xdr:to>
    <xdr:graphicFrame macro="">
      <xdr:nvGraphicFramePr>
        <xdr:cNvPr id="42" name="Chart 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</xdr:col>
      <xdr:colOff>1739144</xdr:colOff>
      <xdr:row>344</xdr:row>
      <xdr:rowOff>127909</xdr:rowOff>
    </xdr:from>
    <xdr:to>
      <xdr:col>4</xdr:col>
      <xdr:colOff>966106</xdr:colOff>
      <xdr:row>356</xdr:row>
      <xdr:rowOff>136072</xdr:rowOff>
    </xdr:to>
    <xdr:graphicFrame macro="">
      <xdr:nvGraphicFramePr>
        <xdr:cNvPr id="43" name="Chart 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</xdr:col>
      <xdr:colOff>663346</xdr:colOff>
      <xdr:row>229</xdr:row>
      <xdr:rowOff>25512</xdr:rowOff>
    </xdr:from>
    <xdr:to>
      <xdr:col>11</xdr:col>
      <xdr:colOff>380999</xdr:colOff>
      <xdr:row>245</xdr:row>
      <xdr:rowOff>25512</xdr:rowOff>
    </xdr:to>
    <xdr:graphicFrame macro="">
      <xdr:nvGraphicFramePr>
        <xdr:cNvPr id="38" name="Chart 6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823234</xdr:colOff>
      <xdr:row>229</xdr:row>
      <xdr:rowOff>54429</xdr:rowOff>
    </xdr:from>
    <xdr:to>
      <xdr:col>6</xdr:col>
      <xdr:colOff>130629</xdr:colOff>
      <xdr:row>245</xdr:row>
      <xdr:rowOff>66336</xdr:rowOff>
    </xdr:to>
    <xdr:graphicFrame macro="">
      <xdr:nvGraphicFramePr>
        <xdr:cNvPr id="39" name="Chart 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750094</xdr:colOff>
      <xdr:row>229</xdr:row>
      <xdr:rowOff>119064</xdr:rowOff>
    </xdr:from>
    <xdr:to>
      <xdr:col>2</xdr:col>
      <xdr:colOff>353786</xdr:colOff>
      <xdr:row>245</xdr:row>
      <xdr:rowOff>119062</xdr:rowOff>
    </xdr:to>
    <xdr:graphicFrame macro="">
      <xdr:nvGraphicFramePr>
        <xdr:cNvPr id="40" name="Chart 6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9C5608B-1460-4FE0-802F-B02402E6F17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0.39641</cdr:x>
      <cdr:y>0.90867</cdr:y>
    </cdr:from>
    <cdr:to>
      <cdr:x>0.75535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79545" y="2870604"/>
          <a:ext cx="1430241" cy="288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0.11583</cdr:y>
    </cdr:from>
    <cdr:to>
      <cdr:x>0.05897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784080" y="1150002"/>
          <a:ext cx="1803134" cy="234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0.01641</cdr:x>
      <cdr:y>0.11354</cdr:y>
    </cdr:from>
    <cdr:to>
      <cdr:x>0.06138</cdr:x>
      <cdr:y>0.68431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5717" y="1130516"/>
          <a:ext cx="1748768" cy="183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0.41221</cdr:x>
      <cdr:y>0.89955</cdr:y>
    </cdr:from>
    <cdr:to>
      <cdr:x>0.757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681752" y="2756109"/>
          <a:ext cx="1406700" cy="30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0.41134</cdr:x>
      <cdr:y>0.89988</cdr:y>
    </cdr:from>
    <cdr:to>
      <cdr:x>0.96573</cdr:x>
      <cdr:y>0.96832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17850" y="2705780"/>
          <a:ext cx="1776161" cy="205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0B97B645-6B2F-4062-9D25-76E53E49FF7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00068D3-F3D3-47DA-B9C6-EB6A8A823C4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0.37237</cdr:x>
      <cdr:y>0.90867</cdr:y>
    </cdr:from>
    <cdr:to>
      <cdr:x>0.73131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75485" y="3404332"/>
          <a:ext cx="1422263" cy="3421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92F690CF-C716-4179-A454-9C6255FE5D9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6E5B0E06-6D6E-4BED-A7AA-DAC359F28D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1.xml><?xml version="1.0" encoding="utf-8"?>
<c:userShapes xmlns:c="http://schemas.openxmlformats.org/drawingml/2006/chart">
  <cdr:relSizeAnchor xmlns:cdr="http://schemas.openxmlformats.org/drawingml/2006/chartDrawing">
    <cdr:from>
      <cdr:x>0.27774</cdr:x>
      <cdr:y>0.91696</cdr:y>
    </cdr:from>
    <cdr:to>
      <cdr:x>0.72772</cdr:x>
      <cdr:y>0.99524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0635" y="3056904"/>
          <a:ext cx="1442990" cy="2609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B32C958-DF58-46FC-9F3F-2B881A3A50E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0.00145</cdr:x>
      <cdr:y>0.13242</cdr:y>
    </cdr:from>
    <cdr:to>
      <cdr:x>0.04813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71914" y="1318029"/>
          <a:ext cx="1902839" cy="1496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7E51A7F1-18A0-4D21-A03A-364C6D80A3B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5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30B8551A-BB52-4C51-9A1D-607D53C1E9E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7148F926-5A33-4337-8974-A96FFD327E5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0.28285</cdr:x>
      <cdr:y>0.89931</cdr:y>
    </cdr:from>
    <cdr:to>
      <cdr:x>0.75803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945506" y="2410962"/>
          <a:ext cx="1588447" cy="2699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795888FE-03A1-4567-B006-3CE162BDA3F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0.30887</cdr:x>
      <cdr:y>0.89423</cdr:y>
    </cdr:from>
    <cdr:to>
      <cdr:x>0.79204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67289" y="2366930"/>
          <a:ext cx="1669559" cy="279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E7CA1BEC-3F74-4AB8-8DEC-C852C6A33D8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0.30865</cdr:x>
      <cdr:y>0.92134</cdr:y>
    </cdr:from>
    <cdr:to>
      <cdr:x>0.79754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63262" y="2438698"/>
          <a:ext cx="1684171" cy="2081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32EF591-CECF-47DD-98CB-BFDA9B11D59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0.2384</cdr:x>
      <cdr:y>0.89925</cdr:y>
    </cdr:from>
    <cdr:to>
      <cdr:x>0.753</cdr:x>
      <cdr:y>0.98134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98818" y="2295525"/>
          <a:ext cx="1724247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F2A8F291-9432-49AE-A436-BABA4F651D3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0.364</cdr:x>
      <cdr:y>0.89423</cdr:y>
    </cdr:from>
    <cdr:to>
      <cdr:x>0.82236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57789" y="2264719"/>
          <a:ext cx="1583835" cy="267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A4F449A3-2F91-43DB-BFFD-5011BB275DC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0.30312</cdr:x>
      <cdr:y>0.89423</cdr:y>
    </cdr:from>
    <cdr:to>
      <cdr:x>0.77542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44213" y="2264719"/>
          <a:ext cx="1627020" cy="267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86539E4E-5EED-47F4-B20E-81E0DBAEDB4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0.34822</cdr:x>
      <cdr:y>0.90526</cdr:y>
    </cdr:from>
    <cdr:to>
      <cdr:x>0.76392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14059" y="2340430"/>
          <a:ext cx="1449327" cy="2449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1EA7174-2404-4A31-BB39-DDC76BAAD79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0.29708</cdr:x>
      <cdr:y>0.89423</cdr:y>
    </cdr:from>
    <cdr:to>
      <cdr:x>0.83771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17108" y="2261880"/>
          <a:ext cx="1850975" cy="2675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5441103-A708-4AB6-A3E7-929F94089AF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0.23697</cdr:x>
      <cdr:y>0.91753</cdr:y>
    </cdr:from>
    <cdr:to>
      <cdr:x>0.69877</cdr:x>
      <cdr:y>0.98969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17942" y="2422071"/>
          <a:ext cx="15939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2A8B4AC7-7F54-4EB5-B937-C5BA05184F2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0.32501</cdr:x>
      <cdr:y>0.91693</cdr:y>
    </cdr:from>
    <cdr:to>
      <cdr:x>0.76728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133475" y="2403022"/>
          <a:ext cx="1542422" cy="217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0FF8118C-51D1-4C54-83BB-1E57320B684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0.23697</cdr:x>
      <cdr:y>0.91753</cdr:y>
    </cdr:from>
    <cdr:to>
      <cdr:x>0.69877</cdr:x>
      <cdr:y>0.98969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17942" y="2422071"/>
          <a:ext cx="15939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0.00615</cdr:x>
      <cdr:y>0.01231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BD82F1E6-7B92-4E45-97FD-DDF2E39DE03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0.08425</cdr:y>
    </cdr:from>
    <cdr:to>
      <cdr:x>0</cdr:x>
      <cdr:y>0.08425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81013" y="690564"/>
          <a:ext cx="12477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0.32501</cdr:x>
      <cdr:y>0.91693</cdr:y>
    </cdr:from>
    <cdr:to>
      <cdr:x>0.76728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133475" y="2403022"/>
          <a:ext cx="1542422" cy="217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Catchment Area(Km2)</a:t>
          </a:r>
        </a:p>
      </cdr:txBody>
    </cdr:sp>
  </cdr:relSizeAnchor>
</c:userShapes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0.30872</cdr:x>
      <cdr:y>0.89834</cdr:y>
    </cdr:from>
    <cdr:to>
      <cdr:x>0.85052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0770" y="2857921"/>
          <a:ext cx="1668605" cy="323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>
            <a:lnSpc>
              <a:spcPts val="1100"/>
            </a:lnSpc>
          </a:pPr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1232A1CF-31A5-4708-B554-7962482BC03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0.06256</cdr:y>
    </cdr:from>
    <cdr:to>
      <cdr:x>0.04668</cdr:x>
      <cdr:y>0.63334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836044" y="1035068"/>
          <a:ext cx="1815851" cy="143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1.xml><?xml version="1.0" encoding="utf-8"?>
<c:userShapes xmlns:c="http://schemas.openxmlformats.org/drawingml/2006/chart">
  <cdr:relSizeAnchor xmlns:cdr="http://schemas.openxmlformats.org/drawingml/2006/chartDrawing">
    <cdr:from>
      <cdr:x>0.3676</cdr:x>
      <cdr:y>0.88887</cdr:y>
    </cdr:from>
    <cdr:to>
      <cdr:x>0.83302</cdr:x>
      <cdr:y>0.97525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23149" y="2850377"/>
          <a:ext cx="1548626" cy="276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0.01484</cdr:x>
      <cdr:y>0.11583</cdr:y>
    </cdr:from>
    <cdr:to>
      <cdr:x>0.07381</cdr:x>
      <cdr:y>0.6866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926071" y="1431483"/>
          <a:ext cx="2185506" cy="2095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0.01131</cdr:x>
      <cdr:y>0.05592</cdr:y>
    </cdr:from>
    <cdr:to>
      <cdr:x>0.05628</cdr:x>
      <cdr:y>0.62669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811750" y="1037682"/>
          <a:ext cx="1875621" cy="1677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0.2409</cdr:x>
      <cdr:y>0.89855</cdr:y>
    </cdr:from>
    <cdr:to>
      <cdr:x>0.84681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8712" y="2952749"/>
          <a:ext cx="2260412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13</xdr:row>
      <xdr:rowOff>19050</xdr:rowOff>
    </xdr:from>
    <xdr:to>
      <xdr:col>29</xdr:col>
      <xdr:colOff>295275</xdr:colOff>
      <xdr:row>25</xdr:row>
      <xdr:rowOff>47625</xdr:rowOff>
    </xdr:to>
    <xdr:graphicFrame macro="">
      <xdr:nvGraphicFramePr>
        <xdr:cNvPr id="14593066" name="Chart 6">
          <a:extLst>
            <a:ext uri="{FF2B5EF4-FFF2-40B4-BE49-F238E27FC236}">
              <a16:creationId xmlns:a16="http://schemas.microsoft.com/office/drawing/2014/main" id="{00000000-0008-0000-0700-00002A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19050</xdr:rowOff>
    </xdr:from>
    <xdr:to>
      <xdr:col>18</xdr:col>
      <xdr:colOff>352425</xdr:colOff>
      <xdr:row>25</xdr:row>
      <xdr:rowOff>47625</xdr:rowOff>
    </xdr:to>
    <xdr:graphicFrame macro="">
      <xdr:nvGraphicFramePr>
        <xdr:cNvPr id="14593067" name="Chart 6">
          <a:extLst>
            <a:ext uri="{FF2B5EF4-FFF2-40B4-BE49-F238E27FC236}">
              <a16:creationId xmlns:a16="http://schemas.microsoft.com/office/drawing/2014/main" id="{00000000-0008-0000-0700-00002B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342900</xdr:colOff>
      <xdr:row>13</xdr:row>
      <xdr:rowOff>9525</xdr:rowOff>
    </xdr:from>
    <xdr:to>
      <xdr:col>22</xdr:col>
      <xdr:colOff>76200</xdr:colOff>
      <xdr:row>25</xdr:row>
      <xdr:rowOff>38100</xdr:rowOff>
    </xdr:to>
    <xdr:graphicFrame macro="">
      <xdr:nvGraphicFramePr>
        <xdr:cNvPr id="14593068" name="Chart 6">
          <a:extLst>
            <a:ext uri="{FF2B5EF4-FFF2-40B4-BE49-F238E27FC236}">
              <a16:creationId xmlns:a16="http://schemas.microsoft.com/office/drawing/2014/main" id="{00000000-0008-0000-0700-00002CACD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0.38783</cdr:x>
      <cdr:y>0.82648</cdr:y>
    </cdr:from>
    <cdr:to>
      <cdr:x>0.70532</cdr:x>
      <cdr:y>0.91781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3100" y="1724025"/>
          <a:ext cx="1590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0.00487</cdr:x>
      <cdr:y>0.01169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2BCE2FBB-9FB7-4D4B-B373-44EE025B21F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0.06464</cdr:x>
      <cdr:y>0.13242</cdr:y>
    </cdr:from>
    <cdr:to>
      <cdr:x>0.10646</cdr:x>
      <cdr:y>0.7032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166687" y="766763"/>
          <a:ext cx="1190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5.xml><?xml version="1.0" encoding="utf-8"?>
<c:userShapes xmlns:c="http://schemas.openxmlformats.org/drawingml/2006/chart">
  <cdr:relSizeAnchor xmlns:cdr="http://schemas.openxmlformats.org/drawingml/2006/chartDrawing">
    <cdr:from>
      <cdr:x>0.38202</cdr:x>
      <cdr:y>0.85388</cdr:y>
    </cdr:from>
    <cdr:to>
      <cdr:x>0.7573</cdr:x>
      <cdr:y>0.94521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19250" y="1781175"/>
          <a:ext cx="1590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Return Period (Years)</a:t>
          </a:r>
        </a:p>
      </cdr:txBody>
    </cdr:sp>
  </cdr:relSizeAnchor>
  <cdr:relSizeAnchor xmlns:cdr="http://schemas.openxmlformats.org/drawingml/2006/chartDrawing">
    <cdr:from>
      <cdr:x>0.06629</cdr:x>
      <cdr:y>0.12329</cdr:y>
    </cdr:from>
    <cdr:to>
      <cdr:x>0.11573</cdr:x>
      <cdr:y>0.69406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209550" y="747713"/>
          <a:ext cx="1190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Discharge(m3/s)</a:t>
          </a:r>
        </a:p>
      </cdr:txBody>
    </cdr:sp>
  </cdr:relSizeAnchor>
</c:userShapes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0.06113</cdr:x>
      <cdr:y>0.11872</cdr:y>
    </cdr:from>
    <cdr:to>
      <cdr:x>0.09804</cdr:x>
      <cdr:y>0.68949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254204" y="763858"/>
          <a:ext cx="1190612" cy="158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Discharge(m3/s)</a:t>
          </a:r>
        </a:p>
      </cdr:txBody>
    </cdr:sp>
  </cdr:relSizeAnchor>
  <cdr:relSizeAnchor xmlns:cdr="http://schemas.openxmlformats.org/drawingml/2006/chartDrawing">
    <cdr:from>
      <cdr:x>0.40436</cdr:x>
      <cdr:y>0.81279</cdr:y>
    </cdr:from>
    <cdr:to>
      <cdr:x>0.77111</cdr:x>
      <cdr:y>0.91324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33188" y="1695460"/>
          <a:ext cx="1571987" cy="209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Return Period (Years)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4</xdr:row>
      <xdr:rowOff>76200</xdr:rowOff>
    </xdr:from>
    <xdr:to>
      <xdr:col>18</xdr:col>
      <xdr:colOff>104775</xdr:colOff>
      <xdr:row>21</xdr:row>
      <xdr:rowOff>180975</xdr:rowOff>
    </xdr:to>
    <xdr:pic>
      <xdr:nvPicPr>
        <xdr:cNvPr id="12343381" name="Picture 1">
          <a:extLst>
            <a:ext uri="{FF2B5EF4-FFF2-40B4-BE49-F238E27FC236}">
              <a16:creationId xmlns:a16="http://schemas.microsoft.com/office/drawing/2014/main" id="{00000000-0008-0000-0D00-00005558B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01" t="4637" r="16141" b="36742"/>
        <a:stretch>
          <a:fillRect/>
        </a:stretch>
      </xdr:blipFill>
      <xdr:spPr bwMode="auto">
        <a:xfrm>
          <a:off x="6877050" y="838200"/>
          <a:ext cx="5295900" cy="337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/>
  <dimension ref="A1:E56"/>
  <sheetViews>
    <sheetView view="pageBreakPreview" zoomScale="70" zoomScaleNormal="100" zoomScaleSheetLayoutView="70" workbookViewId="0">
      <selection activeCell="G8" sqref="G8"/>
    </sheetView>
  </sheetViews>
  <sheetFormatPr defaultRowHeight="17.25" x14ac:dyDescent="0.35"/>
  <cols>
    <col min="1" max="1" width="30" style="213" customWidth="1"/>
    <col min="2" max="2" width="21.85546875" style="213" customWidth="1"/>
    <col min="3" max="3" width="13.5703125" style="213" customWidth="1"/>
    <col min="4" max="4" width="13.42578125" style="213" customWidth="1"/>
    <col min="5" max="5" width="37.5703125" style="213" customWidth="1"/>
    <col min="6" max="16384" width="9.140625" style="213"/>
  </cols>
  <sheetData>
    <row r="1" spans="1:5" x14ac:dyDescent="0.35">
      <c r="A1" s="323" t="s">
        <v>65</v>
      </c>
      <c r="B1" s="323"/>
      <c r="C1" s="323"/>
      <c r="D1" s="323"/>
      <c r="E1" s="323"/>
    </row>
    <row r="2" spans="1:5" x14ac:dyDescent="0.35">
      <c r="A2" s="214" t="s">
        <v>156</v>
      </c>
      <c r="B2" s="214" t="s">
        <v>155</v>
      </c>
      <c r="C2" s="214"/>
      <c r="D2" s="214"/>
      <c r="E2" s="214"/>
    </row>
    <row r="3" spans="1:5" x14ac:dyDescent="0.35">
      <c r="A3" s="215" t="s">
        <v>154</v>
      </c>
      <c r="B3" s="215" t="s">
        <v>158</v>
      </c>
      <c r="C3" s="215"/>
      <c r="D3" s="215"/>
      <c r="E3" s="215"/>
    </row>
    <row r="4" spans="1:5" x14ac:dyDescent="0.35">
      <c r="A4" s="215"/>
      <c r="B4" s="215"/>
      <c r="C4" s="215"/>
      <c r="D4" s="215"/>
      <c r="E4" s="215"/>
    </row>
    <row r="5" spans="1:5" x14ac:dyDescent="0.35">
      <c r="A5" s="215" t="s">
        <v>152</v>
      </c>
      <c r="B5" s="216">
        <v>43340</v>
      </c>
      <c r="C5" s="216"/>
      <c r="D5" s="217"/>
      <c r="E5" s="215"/>
    </row>
    <row r="6" spans="1:5" x14ac:dyDescent="0.35">
      <c r="A6" s="215" t="s">
        <v>151</v>
      </c>
      <c r="B6" s="215"/>
      <c r="C6" s="215"/>
      <c r="D6" s="215"/>
      <c r="E6" s="215"/>
    </row>
    <row r="7" spans="1:5" x14ac:dyDescent="0.35">
      <c r="B7" s="218" t="s">
        <v>31</v>
      </c>
      <c r="C7" s="219"/>
      <c r="D7" s="218" t="s">
        <v>100</v>
      </c>
    </row>
    <row r="8" spans="1:5" ht="36" x14ac:dyDescent="0.35">
      <c r="A8" s="220" t="s">
        <v>159</v>
      </c>
      <c r="B8" s="220" t="s">
        <v>160</v>
      </c>
      <c r="C8" s="221" t="s">
        <v>161</v>
      </c>
      <c r="D8" s="221" t="s">
        <v>162</v>
      </c>
      <c r="E8" s="221" t="s">
        <v>163</v>
      </c>
    </row>
    <row r="9" spans="1:5" ht="34.5" x14ac:dyDescent="0.35">
      <c r="A9" s="222" t="s">
        <v>164</v>
      </c>
      <c r="B9" s="223">
        <v>1300</v>
      </c>
      <c r="C9" s="223">
        <v>3500</v>
      </c>
      <c r="D9" s="224">
        <f t="shared" ref="D9:D27" si="0">+C9/B9</f>
        <v>2.6923076923076925</v>
      </c>
      <c r="E9" s="222" t="s">
        <v>165</v>
      </c>
    </row>
    <row r="10" spans="1:5" ht="34.5" x14ac:dyDescent="0.35">
      <c r="A10" s="222" t="s">
        <v>166</v>
      </c>
      <c r="B10" s="223">
        <v>1950</v>
      </c>
      <c r="C10" s="223">
        <v>11200</v>
      </c>
      <c r="D10" s="224">
        <f t="shared" si="0"/>
        <v>5.7435897435897436</v>
      </c>
      <c r="E10" s="222" t="s">
        <v>167</v>
      </c>
    </row>
    <row r="11" spans="1:5" ht="34.5" x14ac:dyDescent="0.35">
      <c r="A11" s="222" t="s">
        <v>168</v>
      </c>
      <c r="B11" s="223">
        <v>450</v>
      </c>
      <c r="C11" s="223">
        <v>6254</v>
      </c>
      <c r="D11" s="224">
        <f>+C11/B11</f>
        <v>13.897777777777778</v>
      </c>
      <c r="E11" s="222" t="s">
        <v>169</v>
      </c>
    </row>
    <row r="12" spans="1:5" ht="34.5" x14ac:dyDescent="0.35">
      <c r="A12" s="222" t="s">
        <v>170</v>
      </c>
      <c r="B12" s="223">
        <v>12560</v>
      </c>
      <c r="C12" s="223">
        <v>33500</v>
      </c>
      <c r="D12" s="224">
        <f t="shared" si="0"/>
        <v>2.6671974522292992</v>
      </c>
      <c r="E12" s="222" t="s">
        <v>171</v>
      </c>
    </row>
    <row r="13" spans="1:5" ht="34.5" x14ac:dyDescent="0.35">
      <c r="A13" s="222" t="s">
        <v>172</v>
      </c>
      <c r="B13" s="223">
        <v>8051</v>
      </c>
      <c r="C13" s="223">
        <v>30842</v>
      </c>
      <c r="D13" s="224">
        <f t="shared" si="0"/>
        <v>3.8308284685132281</v>
      </c>
      <c r="E13" s="222" t="s">
        <v>173</v>
      </c>
    </row>
    <row r="14" spans="1:5" ht="34.5" x14ac:dyDescent="0.35">
      <c r="A14" s="222" t="s">
        <v>174</v>
      </c>
      <c r="B14" s="223">
        <v>31773</v>
      </c>
      <c r="C14" s="223">
        <v>42475</v>
      </c>
      <c r="D14" s="224">
        <f t="shared" si="0"/>
        <v>1.3368268655776918</v>
      </c>
      <c r="E14" s="222" t="s">
        <v>175</v>
      </c>
    </row>
    <row r="15" spans="1:5" ht="34.5" x14ac:dyDescent="0.35">
      <c r="A15" s="222" t="s">
        <v>176</v>
      </c>
      <c r="B15" s="223">
        <v>550</v>
      </c>
      <c r="C15" s="223">
        <v>4400</v>
      </c>
      <c r="D15" s="224">
        <f t="shared" si="0"/>
        <v>8</v>
      </c>
      <c r="E15" s="222" t="s">
        <v>177</v>
      </c>
    </row>
    <row r="16" spans="1:5" ht="34.5" x14ac:dyDescent="0.35">
      <c r="A16" s="222" t="s">
        <v>178</v>
      </c>
      <c r="B16" s="223">
        <v>1120</v>
      </c>
      <c r="C16" s="223">
        <v>5800</v>
      </c>
      <c r="D16" s="224">
        <f t="shared" si="0"/>
        <v>5.1785714285714288</v>
      </c>
      <c r="E16" s="222" t="s">
        <v>177</v>
      </c>
    </row>
    <row r="17" spans="1:5" ht="34.5" x14ac:dyDescent="0.35">
      <c r="A17" s="222" t="s">
        <v>179</v>
      </c>
      <c r="B17" s="223">
        <v>1400</v>
      </c>
      <c r="C17" s="223">
        <v>8100</v>
      </c>
      <c r="D17" s="224">
        <f t="shared" si="0"/>
        <v>5.7857142857142856</v>
      </c>
      <c r="E17" s="222" t="s">
        <v>180</v>
      </c>
    </row>
    <row r="18" spans="1:5" ht="34.5" x14ac:dyDescent="0.35">
      <c r="A18" s="222" t="s">
        <v>181</v>
      </c>
      <c r="B18" s="223">
        <v>2080</v>
      </c>
      <c r="C18" s="223">
        <v>10800</v>
      </c>
      <c r="D18" s="224">
        <f t="shared" si="0"/>
        <v>5.1923076923076925</v>
      </c>
      <c r="E18" s="222" t="s">
        <v>180</v>
      </c>
    </row>
    <row r="19" spans="1:5" ht="34.5" x14ac:dyDescent="0.35">
      <c r="A19" s="222" t="s">
        <v>182</v>
      </c>
      <c r="B19" s="223">
        <v>126</v>
      </c>
      <c r="C19" s="223">
        <v>2470</v>
      </c>
      <c r="D19" s="224">
        <f t="shared" si="0"/>
        <v>19.603174603174605</v>
      </c>
      <c r="E19" s="222" t="s">
        <v>183</v>
      </c>
    </row>
    <row r="20" spans="1:5" x14ac:dyDescent="0.35">
      <c r="A20" s="222" t="s">
        <v>184</v>
      </c>
      <c r="B20" s="223">
        <v>3850</v>
      </c>
      <c r="C20" s="223">
        <v>12300</v>
      </c>
      <c r="D20" s="224">
        <f t="shared" si="0"/>
        <v>3.1948051948051948</v>
      </c>
      <c r="E20" s="222" t="s">
        <v>185</v>
      </c>
    </row>
    <row r="21" spans="1:5" ht="34.5" x14ac:dyDescent="0.35">
      <c r="A21" s="225" t="s">
        <v>186</v>
      </c>
      <c r="B21" s="223">
        <v>31100</v>
      </c>
      <c r="C21" s="223">
        <v>33000</v>
      </c>
      <c r="D21" s="224">
        <f t="shared" si="0"/>
        <v>1.0610932475884245</v>
      </c>
      <c r="E21" s="222" t="s">
        <v>187</v>
      </c>
    </row>
    <row r="22" spans="1:5" ht="34.5" x14ac:dyDescent="0.35">
      <c r="A22" s="222" t="s">
        <v>188</v>
      </c>
      <c r="B22" s="223">
        <v>42725</v>
      </c>
      <c r="C22" s="223">
        <v>63100</v>
      </c>
      <c r="D22" s="224">
        <f t="shared" si="0"/>
        <v>1.4768870684610884</v>
      </c>
      <c r="E22" s="222" t="s">
        <v>189</v>
      </c>
    </row>
    <row r="23" spans="1:5" ht="34.5" x14ac:dyDescent="0.35">
      <c r="A23" s="222" t="s">
        <v>190</v>
      </c>
      <c r="B23" s="223">
        <v>3500</v>
      </c>
      <c r="C23" s="223">
        <v>14600</v>
      </c>
      <c r="D23" s="224">
        <f t="shared" si="0"/>
        <v>4.1714285714285717</v>
      </c>
      <c r="E23" s="222" t="s">
        <v>191</v>
      </c>
    </row>
    <row r="24" spans="1:5" ht="34.5" x14ac:dyDescent="0.35">
      <c r="A24" s="222" t="s">
        <v>192</v>
      </c>
      <c r="B24" s="223">
        <v>20700</v>
      </c>
      <c r="C24" s="223">
        <v>23389</v>
      </c>
      <c r="D24" s="224">
        <f t="shared" si="0"/>
        <v>1.1299033816425121</v>
      </c>
      <c r="E24" s="222" t="s">
        <v>193</v>
      </c>
    </row>
    <row r="25" spans="1:5" ht="34.5" x14ac:dyDescent="0.35">
      <c r="A25" s="222" t="s">
        <v>194</v>
      </c>
      <c r="B25" s="223">
        <v>21342</v>
      </c>
      <c r="C25" s="223">
        <v>24528</v>
      </c>
      <c r="D25" s="224">
        <f t="shared" si="0"/>
        <v>1.149283103739106</v>
      </c>
      <c r="E25" s="222" t="s">
        <v>193</v>
      </c>
    </row>
    <row r="26" spans="1:5" ht="34.5" x14ac:dyDescent="0.35">
      <c r="A26" s="222" t="s">
        <v>195</v>
      </c>
      <c r="B26" s="223">
        <v>1336</v>
      </c>
      <c r="C26" s="223">
        <v>4080</v>
      </c>
      <c r="D26" s="224">
        <f t="shared" si="0"/>
        <v>3.0538922155688621</v>
      </c>
      <c r="E26" s="222" t="s">
        <v>193</v>
      </c>
    </row>
    <row r="27" spans="1:5" ht="34.5" x14ac:dyDescent="0.35">
      <c r="A27" s="222" t="s">
        <v>196</v>
      </c>
      <c r="B27" s="223">
        <v>737</v>
      </c>
      <c r="C27" s="223">
        <v>2980</v>
      </c>
      <c r="D27" s="224">
        <f t="shared" si="0"/>
        <v>4.0434192672998641</v>
      </c>
      <c r="E27" s="222" t="s">
        <v>193</v>
      </c>
    </row>
    <row r="29" spans="1:5" x14ac:dyDescent="0.35">
      <c r="A29" s="226" t="s">
        <v>197</v>
      </c>
    </row>
    <row r="31" spans="1:5" x14ac:dyDescent="0.35">
      <c r="A31" s="227" t="s">
        <v>198</v>
      </c>
    </row>
    <row r="33" spans="1:3" ht="18.75" x14ac:dyDescent="0.35">
      <c r="A33" s="228" t="s">
        <v>199</v>
      </c>
      <c r="B33" s="229">
        <v>3250</v>
      </c>
      <c r="C33" s="229" t="s">
        <v>103</v>
      </c>
    </row>
    <row r="34" spans="1:3" ht="18.75" x14ac:dyDescent="0.35">
      <c r="A34" s="228" t="s">
        <v>200</v>
      </c>
      <c r="B34" s="229">
        <v>6050</v>
      </c>
      <c r="C34" s="229" t="s">
        <v>103</v>
      </c>
    </row>
    <row r="36" spans="1:3" x14ac:dyDescent="0.35">
      <c r="A36" s="229" t="s">
        <v>201</v>
      </c>
      <c r="B36" s="230">
        <f>131.25*$B$33^-0.447</f>
        <v>3.5341701114329767</v>
      </c>
      <c r="C36" s="229"/>
    </row>
    <row r="37" spans="1:3" x14ac:dyDescent="0.35">
      <c r="A37" s="229" t="s">
        <v>202</v>
      </c>
      <c r="B37" s="230">
        <f>131.25*$B$34^-0.447</f>
        <v>2.6770387622378071</v>
      </c>
      <c r="C37" s="229"/>
    </row>
    <row r="39" spans="1:3" x14ac:dyDescent="0.35">
      <c r="A39" s="227" t="s">
        <v>203</v>
      </c>
    </row>
    <row r="40" spans="1:3" x14ac:dyDescent="0.35">
      <c r="A40" s="231" t="s">
        <v>204</v>
      </c>
    </row>
    <row r="41" spans="1:3" ht="18.75" x14ac:dyDescent="0.35">
      <c r="A41" s="229" t="s">
        <v>205</v>
      </c>
      <c r="B41" s="232">
        <f>+$B$36*$B$33</f>
        <v>11486.052862157174</v>
      </c>
      <c r="C41" s="229" t="s">
        <v>206</v>
      </c>
    </row>
    <row r="42" spans="1:3" ht="18.75" x14ac:dyDescent="0.35">
      <c r="A42" s="229" t="s">
        <v>207</v>
      </c>
      <c r="B42" s="232">
        <f>+$B$37*$B$34</f>
        <v>16196.084511538733</v>
      </c>
      <c r="C42" s="229" t="s">
        <v>206</v>
      </c>
    </row>
    <row r="43" spans="1:3" x14ac:dyDescent="0.35">
      <c r="A43" s="229"/>
      <c r="B43" s="233"/>
      <c r="C43" s="229"/>
    </row>
    <row r="44" spans="1:3" x14ac:dyDescent="0.35">
      <c r="A44" s="234" t="s">
        <v>208</v>
      </c>
      <c r="B44" s="233"/>
      <c r="C44" s="229"/>
    </row>
    <row r="45" spans="1:3" ht="18.75" x14ac:dyDescent="0.35">
      <c r="A45" s="229" t="s">
        <v>205</v>
      </c>
      <c r="B45" s="235">
        <v>12000</v>
      </c>
      <c r="C45" s="229" t="s">
        <v>206</v>
      </c>
    </row>
    <row r="46" spans="1:3" ht="18.75" x14ac:dyDescent="0.35">
      <c r="A46" s="229" t="s">
        <v>207</v>
      </c>
      <c r="B46" s="235">
        <v>16000</v>
      </c>
      <c r="C46" s="229" t="s">
        <v>206</v>
      </c>
    </row>
    <row r="47" spans="1:3" x14ac:dyDescent="0.35">
      <c r="A47" s="229"/>
      <c r="B47" s="229"/>
    </row>
    <row r="48" spans="1:3" x14ac:dyDescent="0.35">
      <c r="A48" s="227" t="s">
        <v>209</v>
      </c>
    </row>
    <row r="50" spans="1:4" ht="18.75" x14ac:dyDescent="0.35">
      <c r="A50" s="229" t="s">
        <v>210</v>
      </c>
      <c r="C50" s="229">
        <v>6394.8</v>
      </c>
      <c r="D50" s="229" t="s">
        <v>103</v>
      </c>
    </row>
    <row r="52" spans="1:4" x14ac:dyDescent="0.35">
      <c r="A52" s="229" t="s">
        <v>201</v>
      </c>
      <c r="B52" s="230">
        <f>131.25*$C$50^-0.447</f>
        <v>2.6115278290860617</v>
      </c>
      <c r="C52" s="229"/>
    </row>
    <row r="54" spans="1:4" x14ac:dyDescent="0.35">
      <c r="A54" s="227" t="s">
        <v>203</v>
      </c>
    </row>
    <row r="55" spans="1:4" ht="18.75" x14ac:dyDescent="0.35">
      <c r="A55" s="229" t="s">
        <v>205</v>
      </c>
      <c r="B55" s="233">
        <f>+$B$52*$C$50</f>
        <v>16700.198161439548</v>
      </c>
      <c r="C55" s="229" t="s">
        <v>206</v>
      </c>
    </row>
    <row r="56" spans="1:4" x14ac:dyDescent="0.35">
      <c r="A56" s="229"/>
      <c r="B56" s="229"/>
      <c r="C56" s="229"/>
    </row>
  </sheetData>
  <mergeCells count="1">
    <mergeCell ref="A1:E1"/>
  </mergeCells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>
    <tabColor theme="6" tint="-0.499984740745262"/>
  </sheetPr>
  <dimension ref="A1:M19"/>
  <sheetViews>
    <sheetView topLeftCell="A7" workbookViewId="0">
      <selection activeCell="C8" sqref="C8"/>
    </sheetView>
  </sheetViews>
  <sheetFormatPr defaultRowHeight="17.25" x14ac:dyDescent="0.35"/>
  <cols>
    <col min="1" max="1" width="12.42578125" style="104" customWidth="1"/>
    <col min="2" max="2" width="15.42578125" style="104" customWidth="1"/>
    <col min="3" max="5" width="18.140625" style="104" customWidth="1"/>
    <col min="6" max="6" width="14" style="104" customWidth="1"/>
    <col min="7" max="7" width="14.140625" style="104" customWidth="1"/>
    <col min="8" max="16384" width="9.140625" style="104"/>
  </cols>
  <sheetData>
    <row r="1" spans="1:13" x14ac:dyDescent="0.35">
      <c r="A1" s="324" t="s">
        <v>65</v>
      </c>
      <c r="B1" s="324"/>
      <c r="C1" s="324"/>
      <c r="D1" s="324"/>
      <c r="E1" s="324"/>
      <c r="F1" s="324"/>
      <c r="G1" s="263"/>
    </row>
    <row r="2" spans="1:13" x14ac:dyDescent="0.35">
      <c r="A2" s="264" t="s">
        <v>156</v>
      </c>
      <c r="B2" s="264" t="s">
        <v>157</v>
      </c>
      <c r="C2" s="264"/>
      <c r="D2" s="264"/>
      <c r="E2" s="264"/>
      <c r="F2" s="264"/>
      <c r="G2" s="264"/>
    </row>
    <row r="3" spans="1:13" x14ac:dyDescent="0.35">
      <c r="A3" s="104" t="s">
        <v>154</v>
      </c>
      <c r="B3" s="104" t="s">
        <v>153</v>
      </c>
    </row>
    <row r="5" spans="1:13" x14ac:dyDescent="0.35">
      <c r="A5" s="104" t="s">
        <v>152</v>
      </c>
      <c r="B5" s="239">
        <v>43343</v>
      </c>
      <c r="C5" s="239"/>
      <c r="D5" s="239"/>
      <c r="E5" s="239"/>
    </row>
    <row r="6" spans="1:13" x14ac:dyDescent="0.35">
      <c r="A6" s="104" t="s">
        <v>151</v>
      </c>
    </row>
    <row r="7" spans="1:13" x14ac:dyDescent="0.35">
      <c r="A7" s="265" t="s">
        <v>266</v>
      </c>
      <c r="B7" s="87"/>
      <c r="C7" s="87"/>
      <c r="D7" s="87"/>
      <c r="E7" s="87"/>
    </row>
    <row r="8" spans="1:13" ht="87.75" x14ac:dyDescent="0.35">
      <c r="A8" s="128" t="s">
        <v>134</v>
      </c>
      <c r="B8" s="128" t="s">
        <v>41</v>
      </c>
      <c r="C8" s="181" t="s">
        <v>270</v>
      </c>
      <c r="D8" s="181" t="s">
        <v>236</v>
      </c>
      <c r="E8" s="181" t="s">
        <v>237</v>
      </c>
      <c r="F8" s="181" t="s">
        <v>222</v>
      </c>
      <c r="G8" s="181" t="s">
        <v>150</v>
      </c>
    </row>
    <row r="9" spans="1:13" x14ac:dyDescent="0.35">
      <c r="A9" s="135">
        <v>1</v>
      </c>
      <c r="B9" s="242">
        <v>2</v>
      </c>
      <c r="C9" s="294">
        <f>+INDEX('CAR FFA '!$C$118:$N$118,$H$9,H9)</f>
        <v>2.2312337690077579</v>
      </c>
      <c r="D9" s="388">
        <v>79.61903001210807</v>
      </c>
      <c r="E9" s="388">
        <v>88.770810795810661</v>
      </c>
      <c r="F9" s="293" t="e">
        <f>+'Regional regression analysis'!B42</f>
        <v>#VALUE!</v>
      </c>
      <c r="G9" s="295" t="e">
        <f>+'Regional flood frequency analys'!C14</f>
        <v>#VALUE!</v>
      </c>
      <c r="H9" s="282">
        <v>1</v>
      </c>
      <c r="I9" s="110"/>
      <c r="J9" s="110"/>
      <c r="L9" s="104">
        <v>88.770810795810661</v>
      </c>
      <c r="M9" s="110"/>
    </row>
    <row r="10" spans="1:13" x14ac:dyDescent="0.35">
      <c r="A10" s="135">
        <v>2</v>
      </c>
      <c r="B10" s="242">
        <v>5</v>
      </c>
      <c r="C10" s="294">
        <f>+INDEX('CAR FFA '!$C$118:$N$118,$H$9,H10)</f>
        <v>2.9692409954097654</v>
      </c>
      <c r="D10" s="388">
        <v>134.0278521184145</v>
      </c>
      <c r="E10" s="388">
        <v>158.77443711771983</v>
      </c>
      <c r="F10" s="293" t="e">
        <f>+'Regional regression analysis'!B44</f>
        <v>#VALUE!</v>
      </c>
      <c r="G10" s="295" t="e">
        <f>+'Regional flood frequency analys'!C15</f>
        <v>#VALUE!</v>
      </c>
      <c r="H10" s="282">
        <v>3</v>
      </c>
      <c r="I10" s="110"/>
      <c r="J10" s="110"/>
      <c r="L10" s="104">
        <v>158.77443711771983</v>
      </c>
      <c r="M10" s="110"/>
    </row>
    <row r="11" spans="1:13" x14ac:dyDescent="0.35">
      <c r="A11" s="135">
        <v>3</v>
      </c>
      <c r="B11" s="242">
        <v>10</v>
      </c>
      <c r="C11" s="294">
        <f>+INDEX('CAR FFA '!$C$118:$N$118,$H$9,H11)</f>
        <v>3.4578659954155437</v>
      </c>
      <c r="D11" s="388">
        <v>175.949456069116</v>
      </c>
      <c r="E11" s="388">
        <v>215.14623844563965</v>
      </c>
      <c r="F11" s="293" t="e">
        <f>+'Regional regression analysis'!B45</f>
        <v>#VALUE!</v>
      </c>
      <c r="G11" s="295" t="e">
        <f>+'Regional flood frequency analys'!C16</f>
        <v>#VALUE!</v>
      </c>
      <c r="H11" s="282">
        <v>4</v>
      </c>
      <c r="I11" s="110"/>
      <c r="J11" s="110"/>
      <c r="L11" s="104">
        <v>215.14623844563965</v>
      </c>
      <c r="M11" s="110"/>
    </row>
    <row r="12" spans="1:13" x14ac:dyDescent="0.35">
      <c r="A12" s="135">
        <v>4</v>
      </c>
      <c r="B12" s="242">
        <v>20</v>
      </c>
      <c r="C12" s="294">
        <f>+INDEX('CAR FFA '!$C$118:$N$118,$H$9,H12)</f>
        <v>3.9265668265981937</v>
      </c>
      <c r="D12" s="388">
        <v>220.24043034979033</v>
      </c>
      <c r="E12" s="388">
        <v>276.43633554842319</v>
      </c>
      <c r="F12" s="293" t="e">
        <f>+'Regional regression analysis'!B46</f>
        <v>#VALUE!</v>
      </c>
      <c r="G12" s="295" t="e">
        <f>+'Regional flood frequency analys'!C17</f>
        <v>#VALUE!</v>
      </c>
      <c r="H12" s="282">
        <v>5</v>
      </c>
      <c r="I12" s="110"/>
      <c r="J12" s="110"/>
      <c r="L12" s="104">
        <v>276.43633554842319</v>
      </c>
      <c r="M12" s="110"/>
    </row>
    <row r="13" spans="1:13" x14ac:dyDescent="0.35">
      <c r="A13" s="135">
        <v>5</v>
      </c>
      <c r="B13" s="242">
        <v>50</v>
      </c>
      <c r="C13" s="294">
        <f>+INDEX('CAR FFA '!$C$118:$N$118,$H$9,H13)</f>
        <v>4.5332519759433634</v>
      </c>
      <c r="D13" s="388">
        <v>283.63687562710169</v>
      </c>
      <c r="E13" s="388">
        <v>366.64992621886978</v>
      </c>
      <c r="F13" s="293" t="e">
        <f>+'Regional regression analysis'!B47</f>
        <v>#VALUE!</v>
      </c>
      <c r="G13" s="295" t="e">
        <f>+'Regional flood frequency analys'!C18</f>
        <v>#VALUE!</v>
      </c>
      <c r="H13" s="282">
        <v>6</v>
      </c>
      <c r="I13" s="110"/>
      <c r="J13" s="110"/>
      <c r="L13" s="104">
        <v>366.64992621886978</v>
      </c>
      <c r="M13" s="110"/>
    </row>
    <row r="14" spans="1:13" s="111" customFormat="1" x14ac:dyDescent="0.35">
      <c r="A14" s="296">
        <v>6</v>
      </c>
      <c r="B14" s="297">
        <v>100</v>
      </c>
      <c r="C14" s="298">
        <f>+INDEX('CAR FFA '!$C$118:$N$118,$H$9,H14)</f>
        <v>4.9878771218668385</v>
      </c>
      <c r="D14" s="389">
        <v>335.60419172471455</v>
      </c>
      <c r="E14" s="389">
        <v>442.40767842083233</v>
      </c>
      <c r="F14" s="299" t="e">
        <f>+'Regional regression analysis'!B48</f>
        <v>#VALUE!</v>
      </c>
      <c r="G14" s="299" t="e">
        <f>+'Regional flood frequency analys'!C19</f>
        <v>#VALUE!</v>
      </c>
      <c r="H14" s="321">
        <v>7</v>
      </c>
      <c r="I14" s="322"/>
      <c r="J14" s="322"/>
      <c r="L14" s="111">
        <v>442.40767842083233</v>
      </c>
      <c r="M14" s="322"/>
    </row>
    <row r="15" spans="1:13" x14ac:dyDescent="0.35">
      <c r="A15" s="135">
        <v>7</v>
      </c>
      <c r="B15" s="242">
        <v>200</v>
      </c>
      <c r="C15" s="294">
        <f>+INDEX('CAR FFA '!$C$118:$N$118,$H$9,H15)</f>
        <v>5.4408434169994813</v>
      </c>
      <c r="D15" s="388">
        <v>391.72601703783471</v>
      </c>
      <c r="E15" s="388">
        <v>525.77030172049911</v>
      </c>
      <c r="F15" s="293" t="e">
        <f>+'Regional regression analysis'!B49</f>
        <v>#VALUE!</v>
      </c>
      <c r="G15" s="295" t="e">
        <f>+'Regional flood frequency analys'!C20</f>
        <v>#VALUE!</v>
      </c>
      <c r="H15" s="282">
        <v>8</v>
      </c>
      <c r="I15" s="110"/>
      <c r="J15" s="110"/>
      <c r="L15" s="104">
        <v>525.77030172049911</v>
      </c>
      <c r="M15" s="110"/>
    </row>
    <row r="16" spans="1:13" x14ac:dyDescent="0.35">
      <c r="A16" s="135">
        <v>8</v>
      </c>
      <c r="B16" s="242">
        <v>500</v>
      </c>
      <c r="C16" s="294">
        <f>+INDEX('CAR FFA '!$C$118:$N$118,$H$9,H16)</f>
        <v>6.0384464320274889</v>
      </c>
      <c r="D16" s="388">
        <v>472.1779533277778</v>
      </c>
      <c r="E16" s="388">
        <v>647.68510963561596</v>
      </c>
      <c r="F16" s="293" t="e">
        <f>+'Regional regression analysis'!B50</f>
        <v>#VALUE!</v>
      </c>
      <c r="G16" s="295" t="e">
        <f>+'Regional flood frequency analys'!C21</f>
        <v>#VALUE!</v>
      </c>
      <c r="H16" s="282">
        <v>9</v>
      </c>
      <c r="I16" s="110"/>
      <c r="J16" s="110"/>
      <c r="L16" s="104">
        <v>647.68510963561596</v>
      </c>
      <c r="M16" s="110"/>
    </row>
    <row r="17" spans="1:13" x14ac:dyDescent="0.35">
      <c r="A17" s="135">
        <v>9</v>
      </c>
      <c r="B17" s="242">
        <v>1000</v>
      </c>
      <c r="C17" s="294">
        <f>+INDEX('CAR FFA '!$C$118:$N$118,$H$9,H17)</f>
        <v>6.4901006310524343</v>
      </c>
      <c r="D17" s="388">
        <v>538.3356978452789</v>
      </c>
      <c r="E17" s="388">
        <v>749.79294869672253</v>
      </c>
      <c r="F17" s="293" t="e">
        <f>+'Regional regression analysis'!B51</f>
        <v>#VALUE!</v>
      </c>
      <c r="G17" s="295" t="e">
        <f>+'Regional flood frequency analys'!C22</f>
        <v>#VALUE!</v>
      </c>
      <c r="H17" s="282">
        <v>10</v>
      </c>
      <c r="I17" s="110"/>
      <c r="L17" s="104">
        <v>749.79294869672253</v>
      </c>
    </row>
    <row r="18" spans="1:13" x14ac:dyDescent="0.35">
      <c r="A18" s="135">
        <v>10</v>
      </c>
      <c r="B18" s="242">
        <v>10000</v>
      </c>
      <c r="C18" s="294">
        <f>+INDEX('CAR FFA '!$C$118:$N$118,$H$9,H18)</f>
        <v>7.9896736907690213</v>
      </c>
      <c r="D18" s="388">
        <v>794.3561471416341</v>
      </c>
      <c r="E18" s="388">
        <v>1157.6423716393067</v>
      </c>
      <c r="F18" s="293" t="e">
        <f>+'Regional regression analysis'!B52</f>
        <v>#VALUE!</v>
      </c>
      <c r="G18" s="295" t="e">
        <f>+'Regional flood frequency analys'!C23</f>
        <v>#VALUE!</v>
      </c>
      <c r="H18" s="282">
        <v>12</v>
      </c>
      <c r="J18" s="110"/>
      <c r="M18" s="110"/>
    </row>
    <row r="19" spans="1:13" x14ac:dyDescent="0.35">
      <c r="L19" s="104">
        <v>1157.6423716393067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6" tint="-0.499984740745262"/>
  </sheetPr>
  <dimension ref="A1:Z341"/>
  <sheetViews>
    <sheetView topLeftCell="A287" zoomScale="70" zoomScaleNormal="70" zoomScaleSheetLayoutView="85" workbookViewId="0">
      <selection activeCell="M62" sqref="M62:N72"/>
    </sheetView>
  </sheetViews>
  <sheetFormatPr defaultRowHeight="17.25" x14ac:dyDescent="0.35"/>
  <cols>
    <col min="1" max="1" width="27.7109375" style="104" customWidth="1"/>
    <col min="2" max="2" width="24.28515625" style="104" customWidth="1"/>
    <col min="3" max="3" width="21" style="104" customWidth="1"/>
    <col min="4" max="4" width="14" style="104" customWidth="1"/>
    <col min="5" max="5" width="18.140625" style="104" customWidth="1"/>
    <col min="6" max="6" width="13.5703125" style="104" customWidth="1"/>
    <col min="7" max="7" width="12.85546875" style="104" customWidth="1"/>
    <col min="8" max="8" width="12.5703125" style="104" customWidth="1"/>
    <col min="9" max="9" width="13.140625" style="104" customWidth="1"/>
    <col min="10" max="10" width="17.42578125" style="104" customWidth="1"/>
    <col min="11" max="11" width="13.85546875" style="104" customWidth="1"/>
    <col min="12" max="12" width="13.7109375" style="111" customWidth="1"/>
    <col min="13" max="13" width="16.140625" style="104" customWidth="1"/>
    <col min="14" max="14" width="16.5703125" style="104" customWidth="1"/>
    <col min="15" max="15" width="16.7109375" style="104" customWidth="1"/>
    <col min="16" max="18" width="9.5703125" style="104" bestFit="1" customWidth="1"/>
    <col min="19" max="19" width="14.85546875" style="104" customWidth="1"/>
    <col min="20" max="20" width="17.42578125" style="104" customWidth="1"/>
    <col min="21" max="21" width="15.42578125" style="104" bestFit="1" customWidth="1"/>
    <col min="22" max="22" width="10" style="104" customWidth="1"/>
    <col min="23" max="23" width="17.42578125" style="104" customWidth="1"/>
    <col min="24" max="24" width="9.140625" style="104" customWidth="1"/>
    <col min="25" max="25" width="9.28515625" style="104" customWidth="1"/>
    <col min="26" max="26" width="17.85546875" style="104" customWidth="1"/>
    <col min="27" max="27" width="16.85546875" style="104" customWidth="1"/>
    <col min="28" max="28" width="11.85546875" style="104" customWidth="1"/>
    <col min="29" max="16384" width="9.140625" style="104"/>
  </cols>
  <sheetData>
    <row r="1" spans="1:24" x14ac:dyDescent="0.35">
      <c r="A1" s="324" t="s">
        <v>65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</row>
    <row r="2" spans="1:24" x14ac:dyDescent="0.35">
      <c r="A2" s="324" t="s">
        <v>63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O2" s="105"/>
      <c r="P2" s="105"/>
      <c r="Q2" s="105"/>
      <c r="R2" s="105"/>
      <c r="S2" s="105"/>
      <c r="T2" s="105"/>
      <c r="U2" s="105"/>
      <c r="V2" s="105"/>
      <c r="W2" s="105"/>
      <c r="X2" s="105"/>
    </row>
    <row r="3" spans="1:24" x14ac:dyDescent="0.35">
      <c r="A3" s="23" t="s">
        <v>11</v>
      </c>
      <c r="B3" s="23" t="str">
        <f>'Regional regression analysis'!B3</f>
        <v>Middle Kaligandaki Hydroelectric Project (MKHEP)</v>
      </c>
      <c r="C3" s="23"/>
      <c r="D3" s="106"/>
      <c r="E3" s="106"/>
      <c r="F3" s="106"/>
      <c r="G3" s="106"/>
      <c r="H3" s="106"/>
      <c r="I3" s="106"/>
      <c r="J3" s="106"/>
      <c r="K3" s="106"/>
      <c r="L3" s="107"/>
      <c r="M3" s="106"/>
      <c r="O3" s="105"/>
    </row>
    <row r="4" spans="1:24" x14ac:dyDescent="0.35">
      <c r="A4" s="23" t="s">
        <v>12</v>
      </c>
      <c r="B4" s="23" t="s">
        <v>58</v>
      </c>
      <c r="C4" s="23"/>
      <c r="D4" s="23"/>
      <c r="E4" s="106"/>
      <c r="G4" s="106"/>
      <c r="H4" s="106"/>
      <c r="I4" s="106"/>
      <c r="J4" s="106"/>
      <c r="K4" s="106"/>
      <c r="L4" s="107"/>
      <c r="M4" s="106"/>
      <c r="O4" s="105"/>
    </row>
    <row r="5" spans="1:24" x14ac:dyDescent="0.35">
      <c r="A5" s="23" t="s">
        <v>13</v>
      </c>
      <c r="B5" s="239">
        <v>43340</v>
      </c>
      <c r="C5" s="109"/>
      <c r="D5" s="106"/>
      <c r="E5" s="106"/>
      <c r="F5" s="106"/>
      <c r="G5" s="106"/>
      <c r="H5" s="106"/>
      <c r="I5" s="106"/>
      <c r="J5" s="106"/>
      <c r="K5" s="106"/>
      <c r="L5" s="107"/>
      <c r="M5" s="106"/>
      <c r="N5" s="110"/>
      <c r="O5" s="105"/>
    </row>
    <row r="6" spans="1:24" x14ac:dyDescent="0.35">
      <c r="A6" s="106" t="str">
        <f>'Regional regression analysis'!A6</f>
        <v>Calculated by: S. Shrestha</v>
      </c>
      <c r="N6" s="110"/>
      <c r="O6" s="105"/>
    </row>
    <row r="7" spans="1:24" x14ac:dyDescent="0.35">
      <c r="A7" s="106" t="s">
        <v>133</v>
      </c>
      <c r="N7" s="110"/>
      <c r="O7" s="105"/>
    </row>
    <row r="8" spans="1:24" x14ac:dyDescent="0.35">
      <c r="A8" s="112" t="s">
        <v>105</v>
      </c>
      <c r="N8" s="110"/>
      <c r="O8" s="105"/>
    </row>
    <row r="9" spans="1:24" x14ac:dyDescent="0.35">
      <c r="A9" s="112"/>
      <c r="B9" s="111"/>
      <c r="C9" s="111"/>
      <c r="D9" s="111"/>
      <c r="E9" s="111"/>
      <c r="F9" s="111"/>
      <c r="G9" s="111"/>
      <c r="H9" s="111"/>
      <c r="I9" s="111"/>
      <c r="J9" s="111"/>
      <c r="K9" s="111"/>
      <c r="M9" s="111"/>
      <c r="N9" s="110"/>
      <c r="O9" s="105"/>
    </row>
    <row r="10" spans="1:24" x14ac:dyDescent="0.35">
      <c r="A10" s="112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M10" s="111"/>
      <c r="N10" s="110"/>
      <c r="O10" s="105"/>
    </row>
    <row r="11" spans="1:24" x14ac:dyDescent="0.35">
      <c r="A11" s="87" t="s">
        <v>136</v>
      </c>
      <c r="D11" s="111"/>
      <c r="E11" s="111"/>
      <c r="F11" s="111"/>
      <c r="G11" s="111"/>
      <c r="H11" s="111"/>
      <c r="I11" s="111"/>
      <c r="J11" s="111"/>
      <c r="K11" s="111"/>
      <c r="M11" s="111"/>
      <c r="N11" s="110"/>
      <c r="O11" s="105"/>
    </row>
    <row r="12" spans="1:24" x14ac:dyDescent="0.35">
      <c r="D12" s="111"/>
      <c r="E12" s="111"/>
      <c r="F12" s="111"/>
      <c r="G12" s="111"/>
      <c r="H12" s="111"/>
      <c r="I12" s="111"/>
      <c r="J12" s="111"/>
      <c r="K12" s="111"/>
      <c r="M12" s="111"/>
      <c r="N12" s="110"/>
      <c r="O12" s="105"/>
    </row>
    <row r="13" spans="1:24" ht="34.5" x14ac:dyDescent="0.35">
      <c r="A13" s="181" t="s">
        <v>134</v>
      </c>
      <c r="B13" s="181" t="s">
        <v>25</v>
      </c>
      <c r="C13" s="181" t="s">
        <v>135</v>
      </c>
      <c r="D13" s="111"/>
      <c r="E13" s="111"/>
      <c r="F13" s="111"/>
      <c r="G13" s="111"/>
      <c r="H13" s="111"/>
      <c r="I13" s="111"/>
      <c r="J13" s="111"/>
      <c r="K13" s="111"/>
      <c r="M13" s="111"/>
      <c r="N13" s="110"/>
      <c r="O13" s="105"/>
    </row>
    <row r="14" spans="1:24" x14ac:dyDescent="0.35">
      <c r="A14" s="131">
        <v>1</v>
      </c>
      <c r="B14" s="135">
        <v>2</v>
      </c>
      <c r="C14" s="178" t="e">
        <f t="shared" ref="C14:C23" si="0">+INDEX($B$324:$L$324,$D$14,D14)</f>
        <v>#VALUE!</v>
      </c>
      <c r="D14" s="285">
        <v>1</v>
      </c>
      <c r="E14" s="111"/>
      <c r="F14" s="111"/>
      <c r="G14" s="111"/>
      <c r="H14" s="111"/>
      <c r="I14" s="111"/>
      <c r="J14" s="111"/>
      <c r="K14" s="111"/>
      <c r="M14" s="111"/>
      <c r="N14" s="110"/>
      <c r="O14" s="105"/>
    </row>
    <row r="15" spans="1:24" x14ac:dyDescent="0.35">
      <c r="A15" s="131">
        <v>2</v>
      </c>
      <c r="B15" s="135">
        <v>5</v>
      </c>
      <c r="C15" s="178" t="e">
        <f t="shared" si="0"/>
        <v>#VALUE!</v>
      </c>
      <c r="D15" s="285">
        <v>2</v>
      </c>
      <c r="E15" s="111"/>
      <c r="F15" s="111"/>
      <c r="G15" s="111"/>
      <c r="H15" s="111"/>
      <c r="I15" s="111"/>
      <c r="J15" s="111"/>
      <c r="M15" s="111"/>
      <c r="N15" s="110"/>
      <c r="O15" s="105"/>
    </row>
    <row r="16" spans="1:24" x14ac:dyDescent="0.35">
      <c r="A16" s="131">
        <v>3</v>
      </c>
      <c r="B16" s="135">
        <v>10</v>
      </c>
      <c r="C16" s="178" t="e">
        <f t="shared" si="0"/>
        <v>#VALUE!</v>
      </c>
      <c r="D16" s="285">
        <v>3</v>
      </c>
      <c r="E16" s="111"/>
      <c r="F16" s="111"/>
      <c r="G16" s="111"/>
      <c r="H16" s="111"/>
      <c r="I16" s="111"/>
      <c r="J16" s="111"/>
      <c r="M16" s="111"/>
      <c r="N16" s="110"/>
      <c r="O16" s="105"/>
    </row>
    <row r="17" spans="1:15" x14ac:dyDescent="0.35">
      <c r="A17" s="131">
        <v>4</v>
      </c>
      <c r="B17" s="135">
        <v>20</v>
      </c>
      <c r="C17" s="178" t="e">
        <f t="shared" si="0"/>
        <v>#VALUE!</v>
      </c>
      <c r="D17" s="285">
        <v>4</v>
      </c>
      <c r="E17" s="111"/>
      <c r="F17" s="111"/>
      <c r="G17" s="111"/>
      <c r="H17" s="111"/>
      <c r="I17" s="111"/>
      <c r="J17" s="111"/>
      <c r="M17" s="111"/>
      <c r="N17" s="110"/>
      <c r="O17" s="105"/>
    </row>
    <row r="18" spans="1:15" x14ac:dyDescent="0.35">
      <c r="A18" s="131">
        <v>5</v>
      </c>
      <c r="B18" s="135">
        <v>50</v>
      </c>
      <c r="C18" s="178" t="e">
        <f t="shared" si="0"/>
        <v>#VALUE!</v>
      </c>
      <c r="D18" s="285">
        <v>5</v>
      </c>
      <c r="E18" s="111"/>
      <c r="F18" s="111"/>
      <c r="G18" s="111"/>
      <c r="H18" s="111"/>
      <c r="I18" s="111"/>
      <c r="J18" s="111"/>
      <c r="M18" s="111"/>
      <c r="N18" s="110"/>
      <c r="O18" s="105"/>
    </row>
    <row r="19" spans="1:15" x14ac:dyDescent="0.35">
      <c r="A19" s="236">
        <v>6</v>
      </c>
      <c r="B19" s="237">
        <v>100</v>
      </c>
      <c r="C19" s="238" t="e">
        <f t="shared" si="0"/>
        <v>#VALUE!</v>
      </c>
      <c r="D19" s="285">
        <v>6</v>
      </c>
      <c r="E19" s="111"/>
      <c r="F19" s="111"/>
      <c r="G19" s="111"/>
      <c r="H19" s="111"/>
      <c r="I19" s="111"/>
      <c r="J19" s="111"/>
      <c r="M19" s="111"/>
      <c r="N19" s="110"/>
      <c r="O19" s="105"/>
    </row>
    <row r="20" spans="1:15" x14ac:dyDescent="0.35">
      <c r="A20" s="131">
        <v>7</v>
      </c>
      <c r="B20" s="135">
        <v>200</v>
      </c>
      <c r="C20" s="178" t="e">
        <f t="shared" si="0"/>
        <v>#VALUE!</v>
      </c>
      <c r="D20" s="285">
        <v>7</v>
      </c>
      <c r="E20" s="111"/>
      <c r="F20" s="111"/>
      <c r="G20" s="111"/>
      <c r="H20" s="111"/>
      <c r="I20" s="111"/>
      <c r="J20" s="111"/>
      <c r="M20" s="111"/>
      <c r="N20" s="110"/>
      <c r="O20" s="105"/>
    </row>
    <row r="21" spans="1:15" x14ac:dyDescent="0.35">
      <c r="A21" s="131">
        <v>8</v>
      </c>
      <c r="B21" s="161">
        <v>500</v>
      </c>
      <c r="C21" s="178" t="e">
        <f t="shared" si="0"/>
        <v>#VALUE!</v>
      </c>
      <c r="D21" s="285">
        <v>8</v>
      </c>
      <c r="E21" s="111"/>
      <c r="F21" s="111"/>
      <c r="G21" s="111"/>
      <c r="H21" s="111"/>
      <c r="I21" s="111"/>
      <c r="J21" s="111"/>
      <c r="M21" s="111"/>
      <c r="N21" s="110"/>
      <c r="O21" s="105"/>
    </row>
    <row r="22" spans="1:15" x14ac:dyDescent="0.35">
      <c r="A22" s="131">
        <v>9</v>
      </c>
      <c r="B22" s="161">
        <v>1000</v>
      </c>
      <c r="C22" s="178" t="e">
        <f t="shared" si="0"/>
        <v>#VALUE!</v>
      </c>
      <c r="D22" s="285">
        <v>9</v>
      </c>
      <c r="E22" s="111"/>
      <c r="F22" s="111"/>
      <c r="G22" s="111"/>
      <c r="H22" s="111"/>
      <c r="I22" s="111"/>
      <c r="J22" s="111"/>
      <c r="M22" s="111"/>
      <c r="N22" s="110"/>
      <c r="O22" s="105"/>
    </row>
    <row r="23" spans="1:15" x14ac:dyDescent="0.35">
      <c r="A23" s="131">
        <v>10</v>
      </c>
      <c r="B23" s="161">
        <v>10000</v>
      </c>
      <c r="C23" s="178" t="e">
        <f t="shared" si="0"/>
        <v>#VALUE!</v>
      </c>
      <c r="D23" s="285">
        <v>11</v>
      </c>
      <c r="E23" s="111"/>
      <c r="F23" s="111"/>
      <c r="G23" s="111"/>
      <c r="H23" s="111"/>
      <c r="I23" s="111"/>
      <c r="J23" s="111"/>
      <c r="M23" s="111"/>
      <c r="N23" s="110"/>
      <c r="O23" s="105"/>
    </row>
    <row r="24" spans="1:15" x14ac:dyDescent="0.35">
      <c r="A24" s="150"/>
      <c r="B24" s="283"/>
      <c r="C24" s="284"/>
      <c r="D24" s="111"/>
      <c r="E24" s="111"/>
      <c r="F24" s="111"/>
      <c r="G24" s="111"/>
      <c r="H24" s="111"/>
      <c r="I24" s="111"/>
      <c r="J24" s="111"/>
      <c r="M24" s="111"/>
      <c r="N24" s="110"/>
      <c r="O24" s="105"/>
    </row>
    <row r="25" spans="1:15" x14ac:dyDescent="0.3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M25" s="111"/>
      <c r="N25" s="110"/>
      <c r="O25" s="105"/>
    </row>
    <row r="26" spans="1:15" hidden="1" x14ac:dyDescent="0.35">
      <c r="A26" s="328" t="s">
        <v>0</v>
      </c>
      <c r="B26" s="343" t="s">
        <v>1</v>
      </c>
      <c r="C26" s="344"/>
      <c r="D26" s="344"/>
      <c r="E26" s="344"/>
      <c r="F26" s="344"/>
      <c r="G26" s="344"/>
      <c r="H26" s="344"/>
      <c r="I26" s="344"/>
      <c r="J26" s="344"/>
      <c r="K26" s="344"/>
      <c r="L26" s="345"/>
      <c r="M26" s="113"/>
      <c r="N26" s="110"/>
      <c r="O26" s="105"/>
    </row>
    <row r="27" spans="1:15" hidden="1" x14ac:dyDescent="0.35">
      <c r="A27" s="329"/>
      <c r="B27" s="166">
        <v>1</v>
      </c>
      <c r="C27" s="166">
        <v>2</v>
      </c>
      <c r="D27" s="166">
        <v>2.33</v>
      </c>
      <c r="E27" s="166">
        <v>5</v>
      </c>
      <c r="F27" s="166">
        <v>10</v>
      </c>
      <c r="G27" s="166">
        <v>20</v>
      </c>
      <c r="H27" s="166">
        <v>50</v>
      </c>
      <c r="I27" s="166">
        <v>100</v>
      </c>
      <c r="J27" s="166">
        <v>200</v>
      </c>
      <c r="K27" s="166">
        <v>500</v>
      </c>
      <c r="L27" s="163">
        <v>1000</v>
      </c>
      <c r="M27" s="114"/>
      <c r="N27" s="110"/>
      <c r="O27" s="105"/>
    </row>
    <row r="28" spans="1:15" hidden="1" x14ac:dyDescent="0.35">
      <c r="A28" s="115" t="s">
        <v>8</v>
      </c>
      <c r="B28" s="116">
        <f>+INDEX('Bhakbesi.(439.35'!$F$71:$F$83,'Regional flood frequency analys'!B198)</f>
        <v>13.180539534389816</v>
      </c>
      <c r="C28" s="116">
        <f>+INDEX('Bhakbesi.(439.35'!$F$71:$F$83,'Regional flood frequency analys'!C198)</f>
        <v>38.797716681037848</v>
      </c>
      <c r="D28" s="116">
        <f>+INDEX('Bhakbesi.(439.35'!$F$71:$F$83,'Regional flood frequency analys'!D198)</f>
        <v>41.879585121268356</v>
      </c>
      <c r="E28" s="116">
        <f>+INDEX('Bhakbesi.(439.35'!$F$71:$F$83,'Regional flood frequency analys'!E198)</f>
        <v>55.673174224534073</v>
      </c>
      <c r="F28" s="116">
        <f>+INDEX('Bhakbesi.(439.35'!$F$71:$F$83,'Regional flood frequency analys'!F198)</f>
        <v>67.252508582039468</v>
      </c>
      <c r="G28" s="116">
        <f>+INDEX('Bhakbesi.(439.35'!$F$71:$F$83,'Regional flood frequency analys'!G198)</f>
        <v>78.606440781594543</v>
      </c>
      <c r="H28" s="116">
        <f>+INDEX('Bhakbesi.(439.35'!$F$71:$F$83,'Regional flood frequency analys'!H198)</f>
        <v>93.68875179721249</v>
      </c>
      <c r="I28" s="116">
        <f>+INDEX('Bhakbesi.(439.35'!$F$71:$F$83,'Regional flood frequency analys'!I198)</f>
        <v>105.31658855222544</v>
      </c>
      <c r="J28" s="116">
        <f>+INDEX('Bhakbesi.(439.35'!$F$71:$F$83,'Regional flood frequency analys'!J198)</f>
        <v>117.21735435905538</v>
      </c>
      <c r="K28" s="116">
        <f>+INDEX('Bhakbesi.(439.35'!$F$71:$F$83,'Regional flood frequency analys'!K198)</f>
        <v>133.45413004777024</v>
      </c>
      <c r="L28" s="116">
        <f>+INDEX('Bhakbesi.(439.35'!$F$71:$F$83,'Regional flood frequency analys'!L198)</f>
        <v>146.16711989401301</v>
      </c>
      <c r="M28" s="117"/>
      <c r="N28" s="118"/>
    </row>
    <row r="29" spans="1:15" hidden="1" x14ac:dyDescent="0.35">
      <c r="A29" s="115" t="s">
        <v>9</v>
      </c>
      <c r="B29" s="119">
        <f>+INDEX('Bhakbesi.(439.35'!$I$71:$I$83,'Regional flood frequency analys'!B198)</f>
        <v>10.650522372649394</v>
      </c>
      <c r="C29" s="119">
        <f>+INDEX('Bhakbesi.(439.35'!$I$71:$I$83,'Regional flood frequency analys'!C198)</f>
        <v>40.372649990616935</v>
      </c>
      <c r="D29" s="119">
        <f>+INDEX('Bhakbesi.(439.35'!$I$71:$I$83,'Regional flood frequency analys'!D198)</f>
        <v>43.467048191179366</v>
      </c>
      <c r="E29" s="119">
        <f>+INDEX('Bhakbesi.(439.35'!$I$71:$I$83,'Regional flood frequency analys'!E198)</f>
        <v>56.01221793427024</v>
      </c>
      <c r="F29" s="119">
        <f>+INDEX('Bhakbesi.(439.35'!$I$71:$I$83,'Regional flood frequency analys'!F198)</f>
        <v>65.10016179823478</v>
      </c>
      <c r="G29" s="119">
        <f>+INDEX('Bhakbesi.(439.35'!$I$71:$I$83,'Regional flood frequency analys'!G198)</f>
        <v>72.952778718875834</v>
      </c>
      <c r="H29" s="119">
        <f>+INDEX('Bhakbesi.(439.35'!$I$71:$I$83,'Regional flood frequency analys'!H198)</f>
        <v>82.051757816916975</v>
      </c>
      <c r="I29" s="119">
        <f>+INDEX('Bhakbesi.(439.35'!$I$71:$I$83,'Regional flood frequency analys'!I198)</f>
        <v>88.208313124918703</v>
      </c>
      <c r="J29" s="119">
        <f>+INDEX('Bhakbesi.(439.35'!$I$71:$I$83,'Regional flood frequency analys'!J198)</f>
        <v>93.865311772746196</v>
      </c>
      <c r="K29" s="119">
        <f>+INDEX('Bhakbesi.(439.35'!$I$71:$I$83,'Regional flood frequency analys'!K198)</f>
        <v>100.70249117498928</v>
      </c>
      <c r="L29" s="119">
        <f>+INDEX('Bhakbesi.(439.35'!$I$71:$I$83,'Regional flood frequency analys'!L198)</f>
        <v>105.45812771802943</v>
      </c>
      <c r="M29" s="117"/>
      <c r="N29" s="118"/>
    </row>
    <row r="30" spans="1:15" hidden="1" x14ac:dyDescent="0.35">
      <c r="A30" s="120" t="s">
        <v>7</v>
      </c>
      <c r="B30" s="121" t="s">
        <v>73</v>
      </c>
      <c r="C30" s="122">
        <f>+INDEX('Bhakbesi.(439.35'!$K$71:$K$83,'Regional flood frequency analys'!C198)</f>
        <v>39.389718408371159</v>
      </c>
      <c r="D30" s="122">
        <f>+INDEX('Bhakbesi.(439.35'!$K$71:$K$83,'Regional flood frequency analys'!D198)</f>
        <v>42.013399757896693</v>
      </c>
      <c r="E30" s="122">
        <f>+INDEX('Bhakbesi.(439.35'!$K$71:$K$83,'Regional flood frequency analys'!E198)</f>
        <v>53.411861217756417</v>
      </c>
      <c r="F30" s="122">
        <f>+INDEX('Bhakbesi.(439.35'!$K$71:$K$83,'Regional flood frequency analys'!F198)</f>
        <v>62.695739864474042</v>
      </c>
      <c r="G30" s="122">
        <f>+INDEX('Bhakbesi.(439.35'!$K$71:$K$83,'Regional flood frequency analys'!G198)</f>
        <v>71.601059154858206</v>
      </c>
      <c r="H30" s="122">
        <f>+INDEX('Bhakbesi.(439.35'!$K$71:$K$83,'Regional flood frequency analys'!H198)</f>
        <v>83.128081520107031</v>
      </c>
      <c r="I30" s="122">
        <f>+INDEX('Bhakbesi.(439.35'!$K$71:$K$83,'Regional flood frequency analys'!I198)</f>
        <v>91.765962685520023</v>
      </c>
      <c r="J30" s="122">
        <f>+INDEX('Bhakbesi.(439.35'!$K$71:$K$83,'Regional flood frequency analys'!J198)</f>
        <v>100.3723256735272</v>
      </c>
      <c r="K30" s="122">
        <f>+INDEX('Bhakbesi.(439.35'!$K$71:$K$83,'Regional flood frequency analys'!K198)</f>
        <v>111.72678741896999</v>
      </c>
      <c r="L30" s="122">
        <f>+INDEX('Bhakbesi.(439.35'!$K$71:$K$83,'Regional flood frequency analys'!L198)</f>
        <v>120.30822057113875</v>
      </c>
      <c r="M30" s="117"/>
      <c r="N30" s="118"/>
    </row>
    <row r="31" spans="1:15" hidden="1" x14ac:dyDescent="0.35">
      <c r="A31" s="118"/>
      <c r="B31" s="114"/>
      <c r="C31" s="117"/>
      <c r="E31" s="117"/>
      <c r="F31" s="117"/>
      <c r="G31" s="117"/>
      <c r="H31" s="117"/>
      <c r="I31" s="117"/>
      <c r="J31" s="117"/>
      <c r="K31" s="117"/>
      <c r="L31" s="117"/>
      <c r="M31" s="117"/>
      <c r="N31" s="118"/>
    </row>
    <row r="32" spans="1:15" hidden="1" x14ac:dyDescent="0.35">
      <c r="A32" s="118"/>
      <c r="B32" s="114"/>
      <c r="C32" s="117"/>
      <c r="E32" s="117"/>
      <c r="F32" s="117"/>
      <c r="G32" s="117"/>
      <c r="H32" s="117"/>
      <c r="I32" s="117"/>
      <c r="J32" s="117"/>
      <c r="K32" s="117"/>
      <c r="L32" s="117"/>
      <c r="M32" s="117"/>
      <c r="N32" s="118"/>
    </row>
    <row r="33" spans="1:14" hidden="1" x14ac:dyDescent="0.35">
      <c r="A33" s="118"/>
      <c r="B33" s="114"/>
      <c r="C33" s="117"/>
      <c r="E33" s="117"/>
      <c r="F33" s="117"/>
      <c r="G33" s="117"/>
      <c r="H33" s="117"/>
      <c r="I33" s="117"/>
      <c r="J33" s="117"/>
      <c r="K33" s="117"/>
      <c r="L33" s="117"/>
      <c r="M33" s="117"/>
      <c r="N33" s="118"/>
    </row>
    <row r="34" spans="1:14" hidden="1" x14ac:dyDescent="0.35">
      <c r="A34" s="118"/>
      <c r="B34" s="114"/>
      <c r="C34" s="117"/>
      <c r="E34" s="117"/>
      <c r="F34" s="117"/>
      <c r="G34" s="117"/>
      <c r="H34" s="117"/>
      <c r="I34" s="117"/>
      <c r="J34" s="117"/>
      <c r="K34" s="117"/>
      <c r="L34" s="117"/>
      <c r="M34" s="117"/>
      <c r="N34" s="118"/>
    </row>
    <row r="35" spans="1:14" hidden="1" x14ac:dyDescent="0.35">
      <c r="A35" s="118"/>
      <c r="B35" s="114"/>
      <c r="C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</row>
    <row r="36" spans="1:14" hidden="1" x14ac:dyDescent="0.35">
      <c r="A36" s="118"/>
      <c r="B36" s="114"/>
      <c r="C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</row>
    <row r="37" spans="1:14" hidden="1" x14ac:dyDescent="0.35">
      <c r="A37" s="118"/>
      <c r="B37" s="114"/>
      <c r="C37" s="117"/>
      <c r="E37" s="117"/>
      <c r="F37" s="117"/>
      <c r="G37" s="117"/>
      <c r="H37" s="117"/>
      <c r="I37" s="117"/>
      <c r="J37" s="117"/>
      <c r="K37" s="117"/>
      <c r="L37" s="117"/>
      <c r="M37" s="117"/>
      <c r="N37" s="118"/>
    </row>
    <row r="38" spans="1:14" hidden="1" x14ac:dyDescent="0.35">
      <c r="A38" s="118"/>
      <c r="B38" s="114"/>
      <c r="C38" s="117"/>
      <c r="E38" s="117"/>
      <c r="F38" s="117"/>
      <c r="G38" s="117"/>
      <c r="H38" s="117"/>
      <c r="I38" s="117"/>
      <c r="J38" s="117"/>
      <c r="K38" s="117"/>
      <c r="L38" s="117"/>
      <c r="M38" s="117"/>
      <c r="N38" s="118"/>
    </row>
    <row r="39" spans="1:14" hidden="1" x14ac:dyDescent="0.35">
      <c r="A39" s="118"/>
      <c r="B39" s="114"/>
      <c r="C39" s="117"/>
      <c r="E39" s="117"/>
      <c r="F39" s="117"/>
      <c r="G39" s="117"/>
      <c r="H39" s="117"/>
      <c r="I39" s="117"/>
      <c r="J39" s="117"/>
      <c r="K39" s="117"/>
      <c r="L39" s="117"/>
      <c r="M39" s="117"/>
      <c r="N39" s="118"/>
    </row>
    <row r="40" spans="1:14" hidden="1" x14ac:dyDescent="0.35">
      <c r="A40" s="118"/>
      <c r="B40" s="114"/>
      <c r="C40" s="117"/>
      <c r="E40" s="117"/>
      <c r="F40" s="117"/>
      <c r="G40" s="117"/>
      <c r="H40" s="117"/>
      <c r="I40" s="117"/>
      <c r="J40" s="117"/>
      <c r="K40" s="117"/>
      <c r="L40" s="117"/>
      <c r="M40" s="117"/>
      <c r="N40" s="118"/>
    </row>
    <row r="41" spans="1:14" hidden="1" x14ac:dyDescent="0.35">
      <c r="A41" s="118"/>
      <c r="B41" s="114"/>
      <c r="C41" s="117"/>
      <c r="E41" s="117"/>
      <c r="F41" s="117"/>
      <c r="G41" s="117"/>
      <c r="H41" s="117"/>
      <c r="I41" s="117"/>
      <c r="J41" s="117"/>
      <c r="K41" s="117"/>
      <c r="L41" s="117"/>
      <c r="M41" s="117"/>
      <c r="N41" s="118"/>
    </row>
    <row r="42" spans="1:14" hidden="1" x14ac:dyDescent="0.35">
      <c r="A42" s="118"/>
      <c r="B42" s="114"/>
      <c r="C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1:14" hidden="1" x14ac:dyDescent="0.35">
      <c r="A43" s="118"/>
      <c r="B43" s="114"/>
      <c r="C43" s="117"/>
      <c r="E43" s="117"/>
      <c r="F43" s="117"/>
      <c r="G43" s="117"/>
      <c r="H43" s="117"/>
      <c r="I43" s="117"/>
      <c r="J43" s="117"/>
      <c r="K43" s="117"/>
      <c r="L43" s="117"/>
      <c r="M43" s="117"/>
      <c r="N43" s="118"/>
    </row>
    <row r="44" spans="1:14" hidden="1" x14ac:dyDescent="0.35">
      <c r="A44" s="118"/>
      <c r="B44" s="114"/>
      <c r="C44" s="117"/>
      <c r="E44" s="117"/>
      <c r="F44" s="117"/>
      <c r="G44" s="117"/>
      <c r="H44" s="117"/>
      <c r="I44" s="117"/>
      <c r="J44" s="117"/>
      <c r="K44" s="117"/>
      <c r="L44" s="117"/>
      <c r="M44" s="117"/>
      <c r="N44" s="118"/>
    </row>
    <row r="45" spans="1:14" hidden="1" x14ac:dyDescent="0.35">
      <c r="A45" s="118"/>
      <c r="B45" s="114"/>
      <c r="C45" s="117"/>
      <c r="E45" s="117"/>
      <c r="F45" s="117"/>
      <c r="G45" s="117"/>
      <c r="H45" s="117"/>
      <c r="I45" s="117"/>
      <c r="J45" s="117"/>
      <c r="K45" s="117"/>
      <c r="L45" s="117"/>
      <c r="M45" s="117"/>
      <c r="N45" s="118"/>
    </row>
    <row r="46" spans="1:14" hidden="1" x14ac:dyDescent="0.35">
      <c r="A46" s="118"/>
      <c r="B46" s="114"/>
      <c r="C46" s="117"/>
      <c r="E46" s="117"/>
      <c r="F46" s="117"/>
      <c r="G46" s="117"/>
      <c r="H46" s="117"/>
      <c r="I46" s="117"/>
      <c r="J46" s="117"/>
      <c r="K46" s="117"/>
      <c r="L46" s="117"/>
      <c r="M46" s="117"/>
      <c r="N46" s="118"/>
    </row>
    <row r="47" spans="1:14" hidden="1" x14ac:dyDescent="0.35">
      <c r="A47" s="118"/>
      <c r="B47" s="114"/>
      <c r="C47" s="117"/>
      <c r="E47" s="117"/>
      <c r="F47" s="117"/>
      <c r="G47" s="117"/>
      <c r="H47" s="117"/>
      <c r="I47" s="117"/>
      <c r="J47" s="117"/>
      <c r="K47" s="117"/>
      <c r="L47" s="117"/>
      <c r="M47" s="117"/>
      <c r="N47" s="118"/>
    </row>
    <row r="48" spans="1:14" hidden="1" x14ac:dyDescent="0.35">
      <c r="A48" s="118"/>
      <c r="B48" s="114"/>
      <c r="C48" s="117"/>
      <c r="E48" s="117"/>
      <c r="F48" s="117"/>
      <c r="G48" s="117"/>
      <c r="H48" s="117"/>
      <c r="I48" s="117"/>
      <c r="J48" s="117"/>
      <c r="K48" s="117"/>
      <c r="L48" s="117"/>
      <c r="M48" s="117"/>
      <c r="N48" s="118"/>
    </row>
    <row r="49" spans="1:14" hidden="1" x14ac:dyDescent="0.35">
      <c r="A49" s="118"/>
      <c r="B49" s="114"/>
      <c r="C49" s="117"/>
      <c r="E49" s="117"/>
      <c r="F49" s="117"/>
      <c r="G49" s="117"/>
      <c r="H49" s="117"/>
      <c r="I49" s="117"/>
      <c r="J49" s="117"/>
      <c r="K49" s="117"/>
      <c r="L49" s="117"/>
      <c r="M49" s="117"/>
      <c r="N49" s="118"/>
    </row>
    <row r="50" spans="1:14" x14ac:dyDescent="0.35">
      <c r="A50" s="126" t="s">
        <v>106</v>
      </c>
      <c r="B50" s="169"/>
      <c r="C50" s="168"/>
      <c r="D50" s="8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1:14" x14ac:dyDescent="0.35">
      <c r="A51" s="112" t="s">
        <v>256</v>
      </c>
      <c r="B51" s="114"/>
      <c r="C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1:14" x14ac:dyDescent="0.35">
      <c r="B52" s="118"/>
      <c r="C52" s="118"/>
      <c r="E52" s="118"/>
      <c r="F52" s="118"/>
      <c r="G52" s="118"/>
      <c r="H52" s="118"/>
      <c r="I52" s="118"/>
      <c r="J52" s="118"/>
      <c r="K52" s="118"/>
      <c r="L52" s="118"/>
      <c r="M52" s="111"/>
      <c r="N52" s="111"/>
    </row>
    <row r="53" spans="1:14" x14ac:dyDescent="0.35">
      <c r="A53" s="328" t="s">
        <v>0</v>
      </c>
      <c r="B53" s="330" t="s">
        <v>1</v>
      </c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</row>
    <row r="54" spans="1:14" x14ac:dyDescent="0.35">
      <c r="A54" s="329"/>
      <c r="B54" s="166">
        <v>1</v>
      </c>
      <c r="C54" s="166">
        <v>2</v>
      </c>
      <c r="D54" s="166">
        <v>2.33</v>
      </c>
      <c r="E54" s="166">
        <v>5</v>
      </c>
      <c r="F54" s="166">
        <v>10</v>
      </c>
      <c r="G54" s="166">
        <v>20</v>
      </c>
      <c r="H54" s="166">
        <v>50</v>
      </c>
      <c r="I54" s="166">
        <v>100</v>
      </c>
      <c r="J54" s="166">
        <v>200</v>
      </c>
      <c r="K54" s="166">
        <v>500</v>
      </c>
      <c r="L54" s="192">
        <v>1000</v>
      </c>
      <c r="M54" s="192">
        <v>5000</v>
      </c>
      <c r="N54" s="192">
        <v>10000</v>
      </c>
    </row>
    <row r="55" spans="1:14" x14ac:dyDescent="0.35">
      <c r="A55" s="115" t="s">
        <v>8</v>
      </c>
      <c r="B55" s="123" t="e">
        <f>+INDEX('Sabhaya (602)'!$F$64:$F$76,'Regional flood frequency analys'!B198,)</f>
        <v>#NUM!</v>
      </c>
      <c r="C55" s="123" t="e">
        <f>+INDEX('Sabhaya (602)'!$F$64:$F$76,'Regional flood frequency analys'!C198,)</f>
        <v>#NUM!</v>
      </c>
      <c r="D55" s="123" t="e">
        <f>+INDEX('Sabhaya (602)'!$F$64:$F$76,'Regional flood frequency analys'!D198,)</f>
        <v>#NUM!</v>
      </c>
      <c r="E55" s="123" t="e">
        <f>+INDEX('Sabhaya (602)'!$F$64:$F$76,'Regional flood frequency analys'!E198,)</f>
        <v>#NUM!</v>
      </c>
      <c r="F55" s="123" t="e">
        <f>+INDEX('Sabhaya (602)'!$F$64:$F$76,'Regional flood frequency analys'!F198,)</f>
        <v>#NUM!</v>
      </c>
      <c r="G55" s="123" t="e">
        <f>+INDEX('Sabhaya (602)'!$F$64:$F$76,'Regional flood frequency analys'!G198,)</f>
        <v>#NUM!</v>
      </c>
      <c r="H55" s="123" t="e">
        <f>+INDEX('Sabhaya (602)'!$F$64:$F$76,'Regional flood frequency analys'!H198,)</f>
        <v>#NUM!</v>
      </c>
      <c r="I55" s="123" t="e">
        <f>+INDEX('Sabhaya (602)'!$F$64:$F$76,'Regional flood frequency analys'!I198,)</f>
        <v>#NUM!</v>
      </c>
      <c r="J55" s="123" t="e">
        <f>+INDEX('Sabhaya (602)'!$F$64:$F$76,'Regional flood frequency analys'!J198,)</f>
        <v>#NUM!</v>
      </c>
      <c r="K55" s="123" t="e">
        <f>+INDEX('Sabhaya (602)'!$F$64:$F$76,'Regional flood frequency analys'!K198,)</f>
        <v>#NUM!</v>
      </c>
      <c r="L55" s="123" t="e">
        <f>+INDEX('Sabhaya (602)'!$F$64:$F$76,'Regional flood frequency analys'!L198,)</f>
        <v>#NUM!</v>
      </c>
      <c r="M55" s="123" t="e">
        <f>+INDEX('Sabhaya (602)'!$F$64:$F$76,'Regional flood frequency analys'!M198,)</f>
        <v>#NUM!</v>
      </c>
      <c r="N55" s="123" t="e">
        <f>+INDEX('Sabhaya (602)'!$F$64:$F$76,'Regional flood frequency analys'!N198,)</f>
        <v>#NUM!</v>
      </c>
    </row>
    <row r="56" spans="1:14" x14ac:dyDescent="0.35">
      <c r="A56" s="120" t="s">
        <v>9</v>
      </c>
      <c r="B56" s="124" t="e">
        <f>+INDEX('Sabhaya (602)'!$I$64:$I$76,'Regional flood frequency analys'!B198,)</f>
        <v>#NUM!</v>
      </c>
      <c r="C56" s="124" t="e">
        <f>+INDEX('Sabhaya (602)'!$I$64:$I$76,'Regional flood frequency analys'!C198,)</f>
        <v>#NUM!</v>
      </c>
      <c r="D56" s="124" t="e">
        <f>+INDEX('Sabhaya (602)'!$I$64:$I$76,'Regional flood frequency analys'!D198,)</f>
        <v>#NUM!</v>
      </c>
      <c r="E56" s="124" t="e">
        <f>+INDEX('Sabhaya (602)'!$I$64:$I$76,'Regional flood frequency analys'!E198,)</f>
        <v>#NUM!</v>
      </c>
      <c r="F56" s="124" t="e">
        <f>+INDEX('Sabhaya (602)'!$I$64:$I$76,'Regional flood frequency analys'!F198,)</f>
        <v>#NUM!</v>
      </c>
      <c r="G56" s="124" t="e">
        <f>+INDEX('Sabhaya (602)'!$I$64:$I$76,'Regional flood frequency analys'!G198,)</f>
        <v>#NUM!</v>
      </c>
      <c r="H56" s="124" t="e">
        <f>+INDEX('Sabhaya (602)'!$I$64:$I$76,'Regional flood frequency analys'!H198,)</f>
        <v>#NUM!</v>
      </c>
      <c r="I56" s="124" t="e">
        <f>+INDEX('Sabhaya (602)'!$I$64:$I$76,'Regional flood frequency analys'!I198,)</f>
        <v>#NUM!</v>
      </c>
      <c r="J56" s="124" t="e">
        <f>+INDEX('Sabhaya (602)'!$I$64:$I$76,'Regional flood frequency analys'!J198,)</f>
        <v>#NUM!</v>
      </c>
      <c r="K56" s="124" t="e">
        <f>+INDEX('Sabhaya (602)'!$I$64:$I$76,'Regional flood frequency analys'!K198,)</f>
        <v>#NUM!</v>
      </c>
      <c r="L56" s="124" t="e">
        <f>+INDEX('Sabhaya (602)'!$I$64:$I$76,'Regional flood frequency analys'!L198,)</f>
        <v>#NUM!</v>
      </c>
      <c r="M56" s="124" t="e">
        <f>+INDEX('Sabhaya (602)'!$I$64:$I$76,'Regional flood frequency analys'!M198,)</f>
        <v>#NUM!</v>
      </c>
      <c r="N56" s="124" t="e">
        <f>+INDEX('Sabhaya (602)'!$I$64:$I$76,'Regional flood frequency analys'!N198,)</f>
        <v>#NUM!</v>
      </c>
    </row>
    <row r="57" spans="1:14" x14ac:dyDescent="0.35">
      <c r="A57" s="115" t="s">
        <v>7</v>
      </c>
      <c r="B57" s="123" t="s">
        <v>73</v>
      </c>
      <c r="C57" s="123">
        <f>+INDEX('Sabhaya (602)'!$K$64:$K$76,'Regional flood frequency analys'!C198,)</f>
        <v>196.85398524883777</v>
      </c>
      <c r="D57" s="123">
        <f>+INDEX('Sabhaya (602)'!$K$64:$K$76,'Regional flood frequency analys'!D198,)</f>
        <v>221.06225743449147</v>
      </c>
      <c r="E57" s="123">
        <f>+INDEX('Sabhaya (602)'!$K$64:$K$76,'Regional flood frequency analys'!E198,)</f>
        <v>326.23396876592602</v>
      </c>
      <c r="F57" s="123">
        <f>+INDEX('Sabhaya (602)'!$K$64:$K$76,'Regional flood frequency analys'!F198,)</f>
        <v>411.89477557806498</v>
      </c>
      <c r="G57" s="123">
        <f>+INDEX('Sabhaya (602)'!$K$64:$K$76,'Regional flood frequency analys'!G198,)</f>
        <v>494.06267806392066</v>
      </c>
      <c r="H57" s="123">
        <f>+INDEX('Sabhaya (602)'!$K$64:$K$76,'Regional flood frequency analys'!H198,)</f>
        <v>600.42059952359978</v>
      </c>
      <c r="I57" s="123">
        <f>+INDEX('Sabhaya (602)'!$K$64:$K$76,'Regional flood frequency analys'!I198,)</f>
        <v>680.12089483479087</v>
      </c>
      <c r="J57" s="123">
        <f>+INDEX('Sabhaya (602)'!$K$64:$K$76,'Regional flood frequency analys'!J198,)</f>
        <v>759.53037715622099</v>
      </c>
      <c r="K57" s="123">
        <f>+INDEX('Sabhaya (602)'!$K$64:$K$76,'Regional flood frequency analys'!K198,)</f>
        <v>864.29611042828151</v>
      </c>
      <c r="L57" s="123">
        <f>+INDEX('Sabhaya (602)'!$K$64:$K$76,'Regional flood frequency analys'!L198,)</f>
        <v>943.47556929368886</v>
      </c>
      <c r="M57" s="123">
        <f>+INDEX('Sabhaya (602)'!$K$64:$K$76,'Regional flood frequency analys'!M198,)</f>
        <v>1127.2375727637177</v>
      </c>
      <c r="N57" s="123">
        <f>+INDEX('Sabhaya (602)'!$K$64:$K$76,'Regional flood frequency analys'!N198,)</f>
        <v>1206.365593683664</v>
      </c>
    </row>
    <row r="58" spans="1:14" ht="15.75" customHeight="1" x14ac:dyDescent="0.35">
      <c r="A58" s="118"/>
      <c r="B58" s="114"/>
      <c r="C58" s="113"/>
      <c r="E58" s="113"/>
      <c r="F58" s="113"/>
      <c r="G58" s="113"/>
      <c r="H58" s="113"/>
      <c r="I58" s="113"/>
      <c r="J58" s="113"/>
      <c r="K58" s="113"/>
      <c r="L58" s="113"/>
      <c r="M58" s="114"/>
      <c r="N58" s="111"/>
    </row>
    <row r="59" spans="1:14" ht="15.75" customHeight="1" x14ac:dyDescent="0.35">
      <c r="A59" s="118"/>
      <c r="B59" s="114"/>
      <c r="C59" s="114"/>
      <c r="E59" s="114"/>
      <c r="F59" s="114"/>
      <c r="G59" s="114"/>
      <c r="H59" s="114"/>
      <c r="I59" s="114"/>
      <c r="J59" s="114"/>
      <c r="K59" s="114"/>
      <c r="L59" s="114"/>
      <c r="M59" s="114"/>
      <c r="N59" s="111"/>
    </row>
    <row r="60" spans="1:14" ht="15.75" customHeight="1" x14ac:dyDescent="0.35">
      <c r="A60" s="118"/>
      <c r="B60" s="114"/>
      <c r="C60" s="114"/>
      <c r="E60" s="114"/>
      <c r="F60" s="114"/>
      <c r="G60" s="114"/>
      <c r="H60" s="114"/>
      <c r="I60" s="114"/>
      <c r="J60" s="114"/>
      <c r="K60" s="114"/>
      <c r="L60" s="114"/>
      <c r="M60" s="114"/>
      <c r="N60" s="111"/>
    </row>
    <row r="61" spans="1:14" ht="15.75" customHeight="1" x14ac:dyDescent="0.35">
      <c r="A61" s="118"/>
      <c r="B61" s="114"/>
      <c r="C61" s="114"/>
      <c r="E61" s="114"/>
      <c r="F61" s="114"/>
      <c r="G61" s="114"/>
      <c r="H61" s="114"/>
      <c r="I61" s="114"/>
      <c r="J61" s="114"/>
      <c r="K61" s="114"/>
      <c r="L61" s="114"/>
      <c r="M61" s="114"/>
      <c r="N61" s="111"/>
    </row>
    <row r="62" spans="1:14" ht="15.75" customHeight="1" x14ac:dyDescent="0.35">
      <c r="A62" s="118"/>
      <c r="B62" s="114"/>
      <c r="C62" s="114"/>
      <c r="E62" s="114"/>
      <c r="F62" s="114"/>
      <c r="G62" s="114"/>
      <c r="H62" s="114"/>
      <c r="I62" s="114"/>
      <c r="J62" s="114"/>
      <c r="K62" s="114"/>
      <c r="L62" s="114"/>
      <c r="M62" s="114"/>
      <c r="N62" s="111"/>
    </row>
    <row r="63" spans="1:14" ht="15.75" customHeight="1" x14ac:dyDescent="0.35">
      <c r="A63" s="118"/>
      <c r="B63" s="114"/>
      <c r="C63" s="114"/>
      <c r="E63" s="114"/>
      <c r="F63" s="114"/>
      <c r="G63" s="114"/>
      <c r="H63" s="114"/>
      <c r="I63" s="114"/>
      <c r="J63" s="114"/>
      <c r="K63" s="114"/>
      <c r="L63" s="114"/>
      <c r="M63" s="114"/>
      <c r="N63" s="111"/>
    </row>
    <row r="64" spans="1:14" ht="15.75" customHeight="1" x14ac:dyDescent="0.35">
      <c r="A64" s="118"/>
      <c r="B64" s="114"/>
      <c r="C64" s="114"/>
      <c r="E64" s="114"/>
      <c r="F64" s="114"/>
      <c r="G64" s="114"/>
      <c r="H64" s="114"/>
      <c r="I64" s="114"/>
      <c r="J64" s="114"/>
      <c r="K64" s="114"/>
      <c r="L64" s="114"/>
      <c r="M64" s="114"/>
      <c r="N64" s="111"/>
    </row>
    <row r="65" spans="1:14" ht="15.75" customHeight="1" x14ac:dyDescent="0.35">
      <c r="A65" s="118"/>
      <c r="B65" s="114"/>
      <c r="C65" s="114"/>
      <c r="E65" s="114"/>
      <c r="F65" s="114"/>
      <c r="G65" s="114"/>
      <c r="H65" s="114"/>
      <c r="I65" s="114"/>
      <c r="J65" s="114"/>
      <c r="K65" s="114"/>
      <c r="L65" s="114"/>
      <c r="M65" s="114"/>
      <c r="N65" s="111"/>
    </row>
    <row r="66" spans="1:14" ht="15.75" customHeight="1" x14ac:dyDescent="0.35">
      <c r="A66" s="118"/>
      <c r="B66" s="114"/>
      <c r="C66" s="114"/>
      <c r="E66" s="114"/>
      <c r="F66" s="114"/>
      <c r="G66" s="114"/>
      <c r="H66" s="114"/>
      <c r="I66" s="114"/>
      <c r="J66" s="114"/>
      <c r="K66" s="114"/>
      <c r="L66" s="114"/>
      <c r="M66" s="114"/>
      <c r="N66" s="111"/>
    </row>
    <row r="67" spans="1:14" ht="15.75" customHeight="1" x14ac:dyDescent="0.35">
      <c r="A67" s="118"/>
      <c r="B67" s="114"/>
      <c r="C67" s="114"/>
      <c r="E67" s="114"/>
      <c r="F67" s="114"/>
      <c r="G67" s="114"/>
      <c r="H67" s="114"/>
      <c r="I67" s="114"/>
      <c r="J67" s="114"/>
      <c r="K67" s="114"/>
      <c r="L67" s="114"/>
      <c r="M67" s="114"/>
      <c r="N67" s="111"/>
    </row>
    <row r="68" spans="1:14" ht="15.75" customHeight="1" x14ac:dyDescent="0.35">
      <c r="A68" s="118"/>
      <c r="B68" s="114"/>
      <c r="C68" s="114"/>
      <c r="E68" s="114"/>
      <c r="F68" s="114"/>
      <c r="G68" s="114"/>
      <c r="H68" s="114"/>
      <c r="I68" s="114"/>
      <c r="J68" s="114"/>
      <c r="K68" s="114"/>
      <c r="L68" s="114"/>
      <c r="M68" s="114"/>
      <c r="N68" s="111"/>
    </row>
    <row r="69" spans="1:14" ht="15.75" customHeight="1" x14ac:dyDescent="0.35">
      <c r="A69" s="118"/>
      <c r="B69" s="114"/>
      <c r="C69" s="114"/>
      <c r="E69" s="114"/>
      <c r="F69" s="114"/>
      <c r="G69" s="114"/>
      <c r="H69" s="114"/>
      <c r="I69" s="114"/>
      <c r="J69" s="114"/>
      <c r="K69" s="114"/>
      <c r="L69" s="114"/>
      <c r="M69" s="114"/>
      <c r="N69" s="111"/>
    </row>
    <row r="70" spans="1:14" ht="15.75" customHeight="1" x14ac:dyDescent="0.35">
      <c r="A70" s="118"/>
      <c r="B70" s="114"/>
      <c r="C70" s="114"/>
      <c r="E70" s="114"/>
      <c r="F70" s="114"/>
      <c r="G70" s="114"/>
      <c r="H70" s="114"/>
      <c r="I70" s="114"/>
      <c r="J70" s="114"/>
      <c r="K70" s="114"/>
      <c r="L70" s="114"/>
      <c r="M70" s="114"/>
      <c r="N70" s="111"/>
    </row>
    <row r="71" spans="1:14" ht="15.75" customHeight="1" x14ac:dyDescent="0.35">
      <c r="A71" s="118"/>
      <c r="B71" s="114"/>
      <c r="C71" s="114"/>
      <c r="E71" s="114"/>
      <c r="F71" s="114"/>
      <c r="G71" s="114"/>
      <c r="H71" s="114"/>
      <c r="I71" s="114"/>
      <c r="J71" s="114"/>
      <c r="K71" s="114"/>
      <c r="L71" s="114"/>
      <c r="M71" s="114"/>
      <c r="N71" s="111"/>
    </row>
    <row r="72" spans="1:14" ht="15.75" customHeight="1" x14ac:dyDescent="0.35">
      <c r="A72" s="118"/>
      <c r="B72" s="114"/>
      <c r="C72" s="114"/>
      <c r="E72" s="114"/>
      <c r="F72" s="114"/>
      <c r="G72" s="114"/>
      <c r="H72" s="114"/>
      <c r="I72" s="114"/>
      <c r="J72" s="114"/>
      <c r="K72" s="114"/>
      <c r="L72" s="114"/>
      <c r="M72" s="114"/>
      <c r="N72" s="111"/>
    </row>
    <row r="73" spans="1:14" ht="15.75" customHeight="1" x14ac:dyDescent="0.35">
      <c r="A73" s="118"/>
      <c r="B73" s="114"/>
      <c r="C73" s="114"/>
      <c r="E73" s="114"/>
      <c r="F73" s="114"/>
      <c r="G73" s="114"/>
      <c r="H73" s="114"/>
      <c r="I73" s="114"/>
      <c r="J73" s="114"/>
      <c r="K73" s="114"/>
      <c r="L73" s="114"/>
      <c r="M73" s="114"/>
      <c r="N73" s="111"/>
    </row>
    <row r="74" spans="1:14" ht="15.75" customHeight="1" x14ac:dyDescent="0.35">
      <c r="A74" s="118"/>
      <c r="B74" s="114"/>
      <c r="C74" s="114"/>
      <c r="E74" s="114"/>
      <c r="F74" s="114"/>
      <c r="G74" s="114"/>
      <c r="H74" s="114"/>
      <c r="I74" s="114"/>
      <c r="J74" s="114"/>
      <c r="K74" s="114"/>
      <c r="L74" s="114"/>
      <c r="M74" s="114"/>
      <c r="N74" s="111"/>
    </row>
    <row r="75" spans="1:14" ht="15.75" customHeight="1" x14ac:dyDescent="0.35">
      <c r="A75" s="118"/>
      <c r="B75" s="114"/>
      <c r="C75" s="114"/>
      <c r="E75" s="114"/>
      <c r="F75" s="114"/>
      <c r="G75" s="114"/>
      <c r="H75" s="114"/>
      <c r="I75" s="114"/>
      <c r="J75" s="114"/>
      <c r="K75" s="114"/>
      <c r="L75" s="114"/>
      <c r="M75" s="114"/>
      <c r="N75" s="111"/>
    </row>
    <row r="76" spans="1:14" x14ac:dyDescent="0.35">
      <c r="A76" s="112" t="s">
        <v>257</v>
      </c>
      <c r="B76" s="114"/>
      <c r="C76" s="117"/>
      <c r="E76" s="117"/>
      <c r="F76" s="117"/>
      <c r="G76" s="117"/>
      <c r="H76" s="117"/>
      <c r="I76" s="117"/>
      <c r="J76" s="117"/>
      <c r="K76" s="117"/>
      <c r="L76" s="117"/>
      <c r="M76" s="114"/>
      <c r="N76" s="111"/>
    </row>
    <row r="77" spans="1:14" x14ac:dyDescent="0.35">
      <c r="B77" s="118"/>
      <c r="C77" s="118"/>
      <c r="E77" s="118"/>
      <c r="F77" s="118"/>
      <c r="G77" s="118"/>
      <c r="H77" s="118"/>
      <c r="I77" s="118"/>
      <c r="J77" s="118"/>
      <c r="K77" s="118"/>
      <c r="L77" s="118"/>
      <c r="M77" s="117"/>
      <c r="N77" s="111"/>
    </row>
    <row r="78" spans="1:14" x14ac:dyDescent="0.35">
      <c r="A78" s="328" t="s">
        <v>0</v>
      </c>
      <c r="B78" s="349" t="s">
        <v>1</v>
      </c>
      <c r="C78" s="350"/>
      <c r="D78" s="350"/>
      <c r="E78" s="350"/>
      <c r="F78" s="350"/>
      <c r="G78" s="350"/>
      <c r="H78" s="350"/>
      <c r="I78" s="350"/>
      <c r="J78" s="350"/>
      <c r="K78" s="350"/>
      <c r="L78" s="350"/>
      <c r="M78" s="350"/>
      <c r="N78" s="350"/>
    </row>
    <row r="79" spans="1:14" x14ac:dyDescent="0.35">
      <c r="A79" s="329"/>
      <c r="B79" s="166">
        <v>1</v>
      </c>
      <c r="C79" s="166">
        <v>2</v>
      </c>
      <c r="D79" s="166">
        <v>2.33</v>
      </c>
      <c r="E79" s="166">
        <v>5</v>
      </c>
      <c r="F79" s="166">
        <v>10</v>
      </c>
      <c r="G79" s="166">
        <v>20</v>
      </c>
      <c r="H79" s="166">
        <v>50</v>
      </c>
      <c r="I79" s="166">
        <v>100</v>
      </c>
      <c r="J79" s="166">
        <v>200</v>
      </c>
      <c r="K79" s="166">
        <v>500</v>
      </c>
      <c r="L79" s="163">
        <v>1000</v>
      </c>
      <c r="M79" s="192">
        <v>5000</v>
      </c>
      <c r="N79" s="192">
        <v>10000</v>
      </c>
    </row>
    <row r="80" spans="1:14" x14ac:dyDescent="0.35">
      <c r="A80" s="311" t="s">
        <v>8</v>
      </c>
      <c r="B80" s="119">
        <f>+INDEX('Hinwa (602.5)'!$F$63:$F$75,B198,)</f>
        <v>15.951153579774674</v>
      </c>
      <c r="C80" s="119">
        <f>+INDEX('Hinwa (602.5)'!$F$63:$F$75,C198,)</f>
        <v>42.577130397333633</v>
      </c>
      <c r="D80" s="119">
        <f>+INDEX('Hinwa (602.5)'!$F$63:$F$75,D198,)</f>
        <v>45.641971161295515</v>
      </c>
      <c r="E80" s="119">
        <f>+INDEX('Hinwa (602.5)'!$F$63:$F$75,E198,)</f>
        <v>59.129413881409512</v>
      </c>
      <c r="F80" s="119">
        <f>+INDEX('Hinwa (602.5)'!$F$63:$F$75,F198,)</f>
        <v>70.214963872933595</v>
      </c>
      <c r="G80" s="119">
        <f>+INDEX('Hinwa (602.5)'!$F$63:$F$75,G198,)</f>
        <v>80.917029594133382</v>
      </c>
      <c r="H80" s="119">
        <f>+INDEX('Hinwa (602.5)'!$F$63:$F$75,H198,)</f>
        <v>94.920812244672803</v>
      </c>
      <c r="I80" s="119">
        <f>+INDEX('Hinwa (602.5)'!$F$63:$F$75,I198,)</f>
        <v>105.57631447132336</v>
      </c>
      <c r="J80" s="119">
        <f>+INDEX('Hinwa (602.5)'!$F$63:$F$75,J198,)</f>
        <v>116.37194637625507</v>
      </c>
      <c r="K80" s="119">
        <f>+INDEX('Hinwa (602.5)'!$F$63:$F$75,K198,)</f>
        <v>130.94319439345239</v>
      </c>
      <c r="L80" s="119">
        <f>+INDEX('Hinwa (602.5)'!$F$63:$F$75,L198,)</f>
        <v>142.23928486266499</v>
      </c>
      <c r="M80" s="119">
        <f>+INDEX('Hinwa (602.5)'!$F$63:$F$75,M198,)</f>
        <v>169.53026550489457</v>
      </c>
      <c r="N80" s="119">
        <f>+INDEX('Hinwa (602.5)'!$F$63:$F$75,N198,)</f>
        <v>181.78886327982059</v>
      </c>
    </row>
    <row r="81" spans="1:14" x14ac:dyDescent="0.35">
      <c r="A81" s="311" t="s">
        <v>9</v>
      </c>
      <c r="B81" s="119">
        <f>+INDEX('Hinwa (602.5)'!$I$63:$I$75,B198,)</f>
        <v>12.825804868029152</v>
      </c>
      <c r="C81" s="119">
        <f>+INDEX('Hinwa (602.5)'!$I$63:$I$75,C198,)</f>
        <v>44.344889420037198</v>
      </c>
      <c r="D81" s="119">
        <f>+INDEX('Hinwa (602.5)'!$I$63:$I$75,D198,)</f>
        <v>47.403206648033475</v>
      </c>
      <c r="E81" s="119">
        <f>+INDEX('Hinwa (602.5)'!$I$63:$I$75,E198,)</f>
        <v>59.4543501119458</v>
      </c>
      <c r="F81" s="119">
        <f>+INDEX('Hinwa (602.5)'!$I$63:$I$75,F198,)</f>
        <v>67.856742666381422</v>
      </c>
      <c r="G81" s="119">
        <f>+INDEX('Hinwa (602.5)'!$I$63:$I$75,G198,)</f>
        <v>74.906371941649638</v>
      </c>
      <c r="H81" s="119">
        <f>+INDEX('Hinwa (602.5)'!$I$63:$I$75,H198,)</f>
        <v>82.836814689646829</v>
      </c>
      <c r="I81" s="119">
        <f>+INDEX('Hinwa (602.5)'!$I$63:$I$75,I198,)</f>
        <v>88.059088017740635</v>
      </c>
      <c r="J81" s="119">
        <f>+INDEX('Hinwa (602.5)'!$I$63:$I$75,J198,)</f>
        <v>92.755247904493885</v>
      </c>
      <c r="K81" s="119">
        <f>+INDEX('Hinwa (602.5)'!$I$63:$I$75,K198,)</f>
        <v>98.298929341233631</v>
      </c>
      <c r="L81" s="119">
        <f>+INDEX('Hinwa (602.5)'!$I$63:$I$75,L198,)</f>
        <v>102.06810674481247</v>
      </c>
      <c r="M81" s="119">
        <f>+INDEX('Hinwa (602.5)'!$I$63:$I$75,M198,)</f>
        <v>109.66579975735466</v>
      </c>
      <c r="N81" s="119">
        <f>+INDEX('Hinwa (602.5)'!$I$63:$I$75,N198,)</f>
        <v>112.51686246532758</v>
      </c>
    </row>
    <row r="82" spans="1:14" x14ac:dyDescent="0.35">
      <c r="A82" s="312" t="s">
        <v>7</v>
      </c>
      <c r="B82" s="122" t="s">
        <v>73</v>
      </c>
      <c r="C82" s="122">
        <f>+INDEX('Hinwa (602.5)'!$K$63:$K$75,C198,)</f>
        <v>42.938933036017502</v>
      </c>
      <c r="D82" s="122">
        <f>+INDEX('Hinwa (602.5)'!$K$63:$K$75,D198,)</f>
        <v>45.59637317870736</v>
      </c>
      <c r="E82" s="122">
        <f>+INDEX('Hinwa (602.5)'!$K$63:$K$75,E198,)</f>
        <v>57.141498143601538</v>
      </c>
      <c r="F82" s="122">
        <f>+INDEX('Hinwa (602.5)'!$K$63:$K$75,F198,)</f>
        <v>66.544832050788926</v>
      </c>
      <c r="G82" s="122">
        <f>+INDEX('Hinwa (602.5)'!$K$63:$K$75,G198,)</f>
        <v>75.564735694963105</v>
      </c>
      <c r="H82" s="122">
        <f>+INDEX('Hinwa (602.5)'!$K$63:$K$75,H198,)</f>
        <v>87.240075752792762</v>
      </c>
      <c r="I82" s="122">
        <f>+INDEX('Hinwa (602.5)'!$K$63:$K$75,I198,)</f>
        <v>95.98910015733955</v>
      </c>
      <c r="J82" s="122">
        <f>+INDEX('Hinwa (602.5)'!$K$63:$K$75,J198,)</f>
        <v>104.70620084147045</v>
      </c>
      <c r="K82" s="122">
        <f>+INDEX('Hinwa (602.5)'!$K$63:$K$75,K198,)</f>
        <v>116.20675994954684</v>
      </c>
      <c r="L82" s="122">
        <f>+INDEX('Hinwa (602.5)'!$K$63:$K$75,L198,)</f>
        <v>124.89861002673202</v>
      </c>
      <c r="M82" s="122">
        <f>+INDEX('Hinwa (602.5)'!$K$63:$K$75,M198,)</f>
        <v>145.07090984959029</v>
      </c>
      <c r="N82" s="122">
        <f>+INDEX('Hinwa (602.5)'!$K$63:$K$75,N198,)</f>
        <v>153.75711337504814</v>
      </c>
    </row>
    <row r="83" spans="1:14" x14ac:dyDescent="0.35">
      <c r="A83" s="126"/>
      <c r="B83" s="118"/>
      <c r="C83" s="118"/>
      <c r="E83" s="117"/>
      <c r="F83" s="117"/>
      <c r="G83" s="117"/>
      <c r="I83" s="117"/>
      <c r="J83" s="117"/>
      <c r="K83" s="117"/>
      <c r="L83" s="117"/>
      <c r="M83" s="125"/>
      <c r="N83" s="111"/>
    </row>
    <row r="84" spans="1:14" x14ac:dyDescent="0.35">
      <c r="A84" s="127"/>
      <c r="B84" s="118"/>
      <c r="C84" s="117"/>
      <c r="E84" s="117"/>
      <c r="F84" s="117"/>
      <c r="G84" s="117"/>
      <c r="I84" s="117"/>
      <c r="J84" s="117"/>
      <c r="K84" s="117"/>
      <c r="L84" s="117"/>
      <c r="M84" s="125"/>
      <c r="N84" s="111"/>
    </row>
    <row r="85" spans="1:14" x14ac:dyDescent="0.35">
      <c r="A85" s="127"/>
      <c r="B85" s="118"/>
      <c r="C85" s="117"/>
      <c r="E85" s="117"/>
      <c r="F85" s="117"/>
      <c r="G85" s="117"/>
      <c r="I85" s="117"/>
      <c r="J85" s="117"/>
      <c r="K85" s="117"/>
      <c r="L85" s="117"/>
      <c r="M85" s="125"/>
      <c r="N85" s="111"/>
    </row>
    <row r="86" spans="1:14" x14ac:dyDescent="0.35">
      <c r="A86" s="127"/>
      <c r="B86" s="118"/>
      <c r="C86" s="117"/>
      <c r="E86" s="117"/>
      <c r="F86" s="117"/>
      <c r="G86" s="117"/>
      <c r="I86" s="117"/>
      <c r="J86" s="117"/>
      <c r="K86" s="117"/>
      <c r="L86" s="117"/>
      <c r="M86" s="125"/>
      <c r="N86" s="111"/>
    </row>
    <row r="87" spans="1:14" x14ac:dyDescent="0.35">
      <c r="A87" s="127"/>
      <c r="B87" s="118"/>
      <c r="C87" s="117"/>
      <c r="E87" s="117"/>
      <c r="F87" s="117"/>
      <c r="G87" s="117"/>
      <c r="I87" s="117"/>
      <c r="J87" s="117"/>
      <c r="K87" s="117"/>
      <c r="L87" s="117"/>
      <c r="M87" s="125"/>
      <c r="N87" s="111"/>
    </row>
    <row r="88" spans="1:14" x14ac:dyDescent="0.35">
      <c r="A88" s="127"/>
      <c r="B88" s="118"/>
      <c r="C88" s="117"/>
      <c r="E88" s="117"/>
      <c r="F88" s="117"/>
      <c r="G88" s="117"/>
      <c r="I88" s="117"/>
      <c r="J88" s="117"/>
      <c r="K88" s="117"/>
      <c r="L88" s="117"/>
      <c r="M88" s="125"/>
      <c r="N88" s="111"/>
    </row>
    <row r="89" spans="1:14" x14ac:dyDescent="0.35">
      <c r="A89" s="127"/>
      <c r="B89" s="118"/>
      <c r="C89" s="117"/>
      <c r="E89" s="117"/>
      <c r="F89" s="117"/>
      <c r="G89" s="117"/>
      <c r="I89" s="117"/>
      <c r="J89" s="117"/>
      <c r="K89" s="117"/>
      <c r="L89" s="117"/>
      <c r="M89" s="125"/>
      <c r="N89" s="111"/>
    </row>
    <row r="90" spans="1:14" x14ac:dyDescent="0.35">
      <c r="A90" s="127"/>
      <c r="B90" s="118"/>
      <c r="C90" s="117"/>
      <c r="E90" s="117"/>
      <c r="F90" s="117"/>
      <c r="G90" s="117"/>
      <c r="I90" s="117"/>
      <c r="J90" s="117"/>
      <c r="K90" s="117"/>
      <c r="L90" s="117"/>
      <c r="M90" s="125"/>
      <c r="N90" s="111"/>
    </row>
    <row r="91" spans="1:14" x14ac:dyDescent="0.35">
      <c r="A91" s="127"/>
      <c r="B91" s="118"/>
      <c r="C91" s="117"/>
      <c r="E91" s="117"/>
      <c r="F91" s="117"/>
      <c r="G91" s="117"/>
      <c r="I91" s="117"/>
      <c r="J91" s="117"/>
      <c r="K91" s="117"/>
      <c r="L91" s="117"/>
      <c r="M91" s="125"/>
      <c r="N91" s="111"/>
    </row>
    <row r="92" spans="1:14" x14ac:dyDescent="0.35">
      <c r="A92" s="127"/>
      <c r="B92" s="118"/>
      <c r="C92" s="117"/>
      <c r="E92" s="117"/>
      <c r="F92" s="117"/>
      <c r="G92" s="117"/>
      <c r="I92" s="117"/>
      <c r="J92" s="117"/>
      <c r="K92" s="117"/>
      <c r="L92" s="117"/>
      <c r="M92" s="125"/>
      <c r="N92" s="111"/>
    </row>
    <row r="93" spans="1:14" x14ac:dyDescent="0.35">
      <c r="A93" s="127"/>
      <c r="B93" s="118"/>
      <c r="C93" s="117"/>
      <c r="E93" s="117"/>
      <c r="F93" s="117"/>
      <c r="G93" s="117"/>
      <c r="I93" s="117"/>
      <c r="J93" s="117"/>
      <c r="K93" s="117"/>
      <c r="L93" s="117"/>
      <c r="M93" s="125"/>
      <c r="N93" s="111"/>
    </row>
    <row r="94" spans="1:14" x14ac:dyDescent="0.35">
      <c r="A94" s="127"/>
      <c r="B94" s="118"/>
      <c r="C94" s="117"/>
      <c r="E94" s="117"/>
      <c r="F94" s="117"/>
      <c r="G94" s="117"/>
      <c r="I94" s="117"/>
      <c r="J94" s="117"/>
      <c r="K94" s="117"/>
      <c r="L94" s="117"/>
      <c r="M94" s="125"/>
      <c r="N94" s="111"/>
    </row>
    <row r="95" spans="1:14" x14ac:dyDescent="0.35">
      <c r="A95" s="127"/>
      <c r="B95" s="118"/>
      <c r="C95" s="117"/>
      <c r="E95" s="117"/>
      <c r="F95" s="117"/>
      <c r="G95" s="117"/>
      <c r="I95" s="117"/>
      <c r="J95" s="117"/>
      <c r="K95" s="117"/>
      <c r="L95" s="117"/>
      <c r="M95" s="125"/>
      <c r="N95" s="111"/>
    </row>
    <row r="96" spans="1:14" x14ac:dyDescent="0.35">
      <c r="A96" s="127"/>
      <c r="B96" s="118"/>
      <c r="C96" s="117"/>
      <c r="E96" s="117"/>
      <c r="F96" s="117"/>
      <c r="G96" s="117"/>
      <c r="I96" s="117"/>
      <c r="J96" s="117"/>
      <c r="K96" s="117"/>
      <c r="L96" s="117"/>
      <c r="M96" s="125"/>
      <c r="N96" s="111"/>
    </row>
    <row r="97" spans="1:14" x14ac:dyDescent="0.35">
      <c r="A97" s="127"/>
      <c r="B97" s="118"/>
      <c r="C97" s="117"/>
      <c r="E97" s="117"/>
      <c r="F97" s="117"/>
      <c r="G97" s="117"/>
      <c r="I97" s="117"/>
      <c r="J97" s="117"/>
      <c r="K97" s="117"/>
      <c r="L97" s="117"/>
      <c r="M97" s="125"/>
      <c r="N97" s="111"/>
    </row>
    <row r="98" spans="1:14" x14ac:dyDescent="0.35">
      <c r="B98" s="114"/>
      <c r="C98" s="117"/>
      <c r="E98" s="117"/>
      <c r="F98" s="117"/>
      <c r="G98" s="117"/>
      <c r="H98" s="118"/>
      <c r="I98" s="117"/>
      <c r="J98" s="117"/>
      <c r="K98" s="117"/>
      <c r="L98" s="117"/>
      <c r="M98" s="125"/>
      <c r="N98" s="111"/>
    </row>
    <row r="99" spans="1:14" x14ac:dyDescent="0.35">
      <c r="A99" s="112" t="s">
        <v>258</v>
      </c>
      <c r="B99" s="114"/>
      <c r="C99" s="117"/>
      <c r="E99" s="117"/>
      <c r="F99" s="117"/>
      <c r="G99" s="117"/>
      <c r="H99" s="118"/>
      <c r="I99" s="117"/>
      <c r="J99" s="117"/>
      <c r="K99" s="117"/>
      <c r="L99" s="117"/>
      <c r="M99" s="125"/>
      <c r="N99" s="111"/>
    </row>
    <row r="100" spans="1:14" x14ac:dyDescent="0.35">
      <c r="B100" s="118"/>
      <c r="C100" s="118"/>
      <c r="E100" s="118"/>
      <c r="F100" s="118"/>
      <c r="G100" s="118"/>
      <c r="H100" s="118"/>
      <c r="I100" s="118"/>
      <c r="J100" s="118"/>
      <c r="K100" s="118"/>
      <c r="L100" s="118"/>
      <c r="M100" s="125"/>
      <c r="N100" s="111"/>
    </row>
    <row r="101" spans="1:14" x14ac:dyDescent="0.35">
      <c r="A101" s="328" t="s">
        <v>0</v>
      </c>
      <c r="B101" s="330" t="s">
        <v>1</v>
      </c>
      <c r="C101" s="331"/>
      <c r="D101" s="331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</row>
    <row r="102" spans="1:14" x14ac:dyDescent="0.35">
      <c r="A102" s="329"/>
      <c r="B102" s="166">
        <v>1</v>
      </c>
      <c r="C102" s="166">
        <v>2</v>
      </c>
      <c r="D102" s="166">
        <v>2.33</v>
      </c>
      <c r="E102" s="166">
        <v>5</v>
      </c>
      <c r="F102" s="166">
        <v>10</v>
      </c>
      <c r="G102" s="166">
        <v>20</v>
      </c>
      <c r="H102" s="166">
        <v>50</v>
      </c>
      <c r="I102" s="166">
        <v>100</v>
      </c>
      <c r="J102" s="166">
        <v>200</v>
      </c>
      <c r="K102" s="166">
        <v>500</v>
      </c>
      <c r="L102" s="163">
        <v>1000</v>
      </c>
      <c r="M102" s="192">
        <v>5000</v>
      </c>
      <c r="N102" s="192">
        <v>10000</v>
      </c>
    </row>
    <row r="103" spans="1:14" x14ac:dyDescent="0.35">
      <c r="A103" s="115" t="s">
        <v>8</v>
      </c>
      <c r="B103" s="123">
        <f>+INDEX('Arun River at Turkeghat (604.5)'!$F$55:$F$67,'Regional flood frequency analys'!B198,)</f>
        <v>1264.0411211807627</v>
      </c>
      <c r="C103" s="123">
        <f>+INDEX('Arun River at Turkeghat (604.5)'!$F$55:$F$67,'Regional flood frequency analys'!C198,)</f>
        <v>2843.0881875132391</v>
      </c>
      <c r="D103" s="123">
        <f>+INDEX('Arun River at Turkeghat (604.5)'!$F$55:$F$67,'Regional flood frequency analys'!D198,)</f>
        <v>3011.0224291771879</v>
      </c>
      <c r="E103" s="123">
        <f>+INDEX('Arun River at Turkeghat (604.5)'!$F$55:$F$67,'Regional flood frequency analys'!E198,)</f>
        <v>3728.5968585209721</v>
      </c>
      <c r="F103" s="123">
        <f>+INDEX('Arun River at Turkeghat (604.5)'!$F$55:$F$67,'Regional flood frequency analys'!F198,)</f>
        <v>4296.925608290333</v>
      </c>
      <c r="G103" s="123">
        <f>+INDEX('Arun River at Turkeghat (604.5)'!$F$55:$F$67,'Regional flood frequency analys'!G198,)</f>
        <v>4830.8568187083038</v>
      </c>
      <c r="H103" s="123">
        <f>+INDEX('Arun River at Turkeghat (604.5)'!$F$55:$F$67,'Regional flood frequency analys'!H198,)</f>
        <v>5511.3377307575402</v>
      </c>
      <c r="I103" s="123">
        <f>+INDEX('Arun River at Turkeghat (604.5)'!$F$55:$F$67,'Regional flood frequency analys'!I198,)</f>
        <v>6017.3405872898466</v>
      </c>
      <c r="J103" s="123">
        <f>+INDEX('Arun River at Turkeghat (604.5)'!$F$55:$F$67,'Regional flood frequency analys'!J198,)</f>
        <v>6520.9830150438675</v>
      </c>
      <c r="K103" s="123">
        <f>+INDEX('Arun River at Turkeghat (604.5)'!$F$55:$F$67,'Regional flood frequency analys'!K198,)</f>
        <v>7188.083843681321</v>
      </c>
      <c r="L103" s="123">
        <f>+INDEX('Arun River at Turkeghat (604.5)'!$F$55:$F$67,'Regional flood frequency analys'!L198,)</f>
        <v>7696.3169096009533</v>
      </c>
      <c r="M103" s="123">
        <f>+INDEX('Arun River at Turkeghat (604.5)'!$F$55:$F$67,'Regional flood frequency analys'!M198,)</f>
        <v>8896.4682934901903</v>
      </c>
      <c r="N103" s="123">
        <f>+INDEX('Arun River at Turkeghat (604.5)'!$F$55:$F$67,'Regional flood frequency analys'!N198,)</f>
        <v>9424.3259575007178</v>
      </c>
    </row>
    <row r="104" spans="1:14" x14ac:dyDescent="0.35">
      <c r="A104" s="120" t="s">
        <v>9</v>
      </c>
      <c r="B104" s="124">
        <f>+INDEX('Arun River at Turkeghat (604.5)'!$I$55:$I$67,'Regional flood frequency analys'!B198,)</f>
        <v>1374.5939705101855</v>
      </c>
      <c r="C104" s="124">
        <f>+INDEX('Arun River at Turkeghat (604.5)'!$I$55:$I$67,'Regional flood frequency analys'!C198,)</f>
        <v>2798.584155022234</v>
      </c>
      <c r="D104" s="124">
        <f>+INDEX('Arun River at Turkeghat (604.5)'!$I$55:$I$67,'Regional flood frequency analys'!D198,)</f>
        <v>2964.5585453983908</v>
      </c>
      <c r="E104" s="124">
        <f>+INDEX('Arun River at Turkeghat (604.5)'!$I$55:$I$67,'Regional flood frequency analys'!E198,)</f>
        <v>3707.1927614848119</v>
      </c>
      <c r="F104" s="124">
        <f>+INDEX('Arun River at Turkeghat (604.5)'!$I$55:$I$67,'Regional flood frequency analys'!F198,)</f>
        <v>4334.4680606506599</v>
      </c>
      <c r="G104" s="124">
        <f>+INDEX('Arun River at Turkeghat (604.5)'!$I$55:$I$67,'Regional flood frequency analys'!G198,)</f>
        <v>4955.7672728051257</v>
      </c>
      <c r="H104" s="124">
        <f>+INDEX('Arun River at Turkeghat (604.5)'!$I$55:$I$67,'Regional flood frequency analys'!H198,)</f>
        <v>5793.0706203962409</v>
      </c>
      <c r="I104" s="124">
        <f>+INDEX('Arun River at Turkeghat (604.5)'!$I$55:$I$67,'Regional flood frequency analys'!I198,)</f>
        <v>6449.0721459088163</v>
      </c>
      <c r="J104" s="124">
        <f>+INDEX('Arun River at Turkeghat (604.5)'!$I$55:$I$67,'Regional flood frequency analys'!J198,)</f>
        <v>7130.5653035371224</v>
      </c>
      <c r="K104" s="124">
        <f>+INDEX('Arun River at Turkeghat (604.5)'!$I$55:$I$67,'Regional flood frequency analys'!K198,)</f>
        <v>8077.4973906914993</v>
      </c>
      <c r="L104" s="124">
        <f>+INDEX('Arun River at Turkeghat (604.5)'!$I$55:$I$67,'Regional flood frequency analys'!L198,)</f>
        <v>8833.080041107647</v>
      </c>
      <c r="M104" s="124">
        <f>+INDEX('Arun River at Turkeghat (604.5)'!$I$55:$I$67,'Regional flood frequency analys'!M198,)</f>
        <v>10736.078061451466</v>
      </c>
      <c r="N104" s="124">
        <f>+INDEX('Arun River at Turkeghat (604.5)'!$I$55:$I$67,'Regional flood frequency analys'!N198,)</f>
        <v>11626.531655402445</v>
      </c>
    </row>
    <row r="105" spans="1:14" x14ac:dyDescent="0.35">
      <c r="A105" s="115" t="s">
        <v>7</v>
      </c>
      <c r="B105" s="123" t="s">
        <v>73</v>
      </c>
      <c r="C105" s="123">
        <f>+INDEX('Arun River at Turkeghat (604.5)'!$K$55:$K$67,'Regional flood frequency analys'!C198,)</f>
        <v>2825.3623019180159</v>
      </c>
      <c r="D105" s="123">
        <f>+INDEX('Arun River at Turkeghat (604.5)'!$K$55:$K$67,'Regional flood frequency analys'!D198,)</f>
        <v>2995.3354945597016</v>
      </c>
      <c r="E105" s="123">
        <f>+INDEX('Arun River at Turkeghat (604.5)'!$K$55:$K$67,'Regional flood frequency analys'!E198,)</f>
        <v>3733.7761157448676</v>
      </c>
      <c r="F105" s="123">
        <f>+INDEX('Arun River at Turkeghat (604.5)'!$K$55:$K$67,'Regional flood frequency analys'!F198,)</f>
        <v>4335.2251041923164</v>
      </c>
      <c r="G105" s="123">
        <f>+INDEX('Arun River at Turkeghat (604.5)'!$K$55:$K$67,'Regional flood frequency analys'!G198,)</f>
        <v>4912.1494138284379</v>
      </c>
      <c r="H105" s="123">
        <f>+INDEX('Arun River at Turkeghat (604.5)'!$K$55:$K$67,'Regional flood frequency analys'!H198,)</f>
        <v>5658.9187550930619</v>
      </c>
      <c r="I105" s="123">
        <f>+INDEX('Arun River at Turkeghat (604.5)'!$K$55:$K$67,'Regional flood frequency analys'!I198,)</f>
        <v>6218.5172900333837</v>
      </c>
      <c r="J105" s="123">
        <f>+INDEX('Arun River at Turkeghat (604.5)'!$K$55:$K$67,'Regional flood frequency analys'!J198,)</f>
        <v>6776.0739439194822</v>
      </c>
      <c r="K105" s="123">
        <f>+INDEX('Arun River at Turkeghat (604.5)'!$K$55:$K$67,'Regional flood frequency analys'!K198,)</f>
        <v>7511.6640772067476</v>
      </c>
      <c r="L105" s="123">
        <f>+INDEX('Arun River at Turkeghat (604.5)'!$K$55:$K$67,'Regional flood frequency analys'!L198,)</f>
        <v>8067.6056707158459</v>
      </c>
      <c r="M105" s="123">
        <f>+INDEX('Arun River at Turkeghat (604.5)'!$K$55:$K$67,'Regional flood frequency analys'!M198,)</f>
        <v>9357.851177561377</v>
      </c>
      <c r="N105" s="123">
        <f>+INDEX('Arun River at Turkeghat (604.5)'!$K$55:$K$67,'Regional flood frequency analys'!N198,)</f>
        <v>9913.4316105652633</v>
      </c>
    </row>
    <row r="106" spans="1:14" x14ac:dyDescent="0.35">
      <c r="A106" s="118"/>
      <c r="B106" s="117"/>
      <c r="C106" s="117"/>
      <c r="E106" s="117"/>
      <c r="F106" s="117"/>
      <c r="G106" s="117"/>
      <c r="H106" s="117"/>
      <c r="I106" s="117"/>
      <c r="J106" s="117"/>
      <c r="K106" s="117"/>
      <c r="L106" s="117"/>
      <c r="M106" s="125"/>
      <c r="N106" s="111"/>
    </row>
    <row r="107" spans="1:14" x14ac:dyDescent="0.35">
      <c r="A107" s="118"/>
      <c r="B107" s="117"/>
      <c r="C107" s="117"/>
      <c r="E107" s="117"/>
      <c r="F107" s="117"/>
      <c r="G107" s="117"/>
      <c r="H107" s="117"/>
      <c r="I107" s="117"/>
      <c r="J107" s="117"/>
      <c r="K107" s="117"/>
      <c r="L107" s="117"/>
      <c r="M107" s="125"/>
      <c r="N107" s="111"/>
    </row>
    <row r="108" spans="1:14" x14ac:dyDescent="0.35">
      <c r="A108" s="118"/>
      <c r="B108" s="117"/>
      <c r="C108" s="117"/>
      <c r="E108" s="117"/>
      <c r="F108" s="117"/>
      <c r="G108" s="117"/>
      <c r="H108" s="117"/>
      <c r="I108" s="117"/>
      <c r="J108" s="117"/>
      <c r="K108" s="117"/>
      <c r="L108" s="117"/>
      <c r="M108" s="125"/>
      <c r="N108" s="111"/>
    </row>
    <row r="109" spans="1:14" x14ac:dyDescent="0.35">
      <c r="A109" s="118"/>
      <c r="B109" s="117"/>
      <c r="C109" s="117"/>
      <c r="E109" s="117"/>
      <c r="F109" s="117"/>
      <c r="G109" s="117"/>
      <c r="H109" s="117"/>
      <c r="I109" s="117"/>
      <c r="J109" s="117"/>
      <c r="K109" s="117"/>
      <c r="L109" s="117"/>
      <c r="M109" s="125"/>
      <c r="N109" s="111"/>
    </row>
    <row r="110" spans="1:14" x14ac:dyDescent="0.35">
      <c r="A110" s="118"/>
      <c r="B110" s="117"/>
      <c r="C110" s="117"/>
      <c r="E110" s="117"/>
      <c r="F110" s="117"/>
      <c r="G110" s="117"/>
      <c r="H110" s="117"/>
      <c r="I110" s="117"/>
      <c r="J110" s="117"/>
      <c r="K110" s="117"/>
      <c r="L110" s="117"/>
      <c r="M110" s="125"/>
      <c r="N110" s="111"/>
    </row>
    <row r="111" spans="1:14" x14ac:dyDescent="0.35">
      <c r="A111" s="118"/>
      <c r="B111" s="117"/>
      <c r="C111" s="117"/>
      <c r="E111" s="117"/>
      <c r="F111" s="117"/>
      <c r="G111" s="117"/>
      <c r="H111" s="117"/>
      <c r="I111" s="117"/>
      <c r="J111" s="117"/>
      <c r="K111" s="117"/>
      <c r="L111" s="117"/>
      <c r="M111" s="125"/>
      <c r="N111" s="111"/>
    </row>
    <row r="112" spans="1:14" x14ac:dyDescent="0.35">
      <c r="A112" s="118"/>
      <c r="B112" s="117"/>
      <c r="C112" s="117"/>
      <c r="E112" s="117"/>
      <c r="F112" s="117"/>
      <c r="G112" s="117"/>
      <c r="H112" s="117"/>
      <c r="I112" s="117"/>
      <c r="J112" s="117"/>
      <c r="K112" s="117"/>
      <c r="L112" s="117"/>
      <c r="M112" s="125"/>
      <c r="N112" s="111"/>
    </row>
    <row r="113" spans="1:14" x14ac:dyDescent="0.35">
      <c r="A113" s="118"/>
      <c r="B113" s="117"/>
      <c r="C113" s="117"/>
      <c r="E113" s="117"/>
      <c r="F113" s="117"/>
      <c r="G113" s="117"/>
      <c r="H113" s="117"/>
      <c r="I113" s="117"/>
      <c r="J113" s="117"/>
      <c r="K113" s="117"/>
      <c r="L113" s="117"/>
      <c r="M113" s="125"/>
      <c r="N113" s="111"/>
    </row>
    <row r="114" spans="1:14" x14ac:dyDescent="0.35">
      <c r="A114" s="118"/>
      <c r="B114" s="117"/>
      <c r="C114" s="117"/>
      <c r="E114" s="117"/>
      <c r="F114" s="117"/>
      <c r="G114" s="117"/>
      <c r="H114" s="117"/>
      <c r="I114" s="117"/>
      <c r="J114" s="117"/>
      <c r="K114" s="117"/>
      <c r="L114" s="117"/>
      <c r="M114" s="125"/>
      <c r="N114" s="111"/>
    </row>
    <row r="115" spans="1:14" x14ac:dyDescent="0.35">
      <c r="A115" s="118"/>
      <c r="B115" s="117"/>
      <c r="C115" s="117"/>
      <c r="E115" s="117"/>
      <c r="F115" s="117"/>
      <c r="G115" s="117"/>
      <c r="H115" s="117"/>
      <c r="I115" s="117"/>
      <c r="J115" s="117"/>
      <c r="K115" s="117"/>
      <c r="L115" s="117"/>
      <c r="M115" s="125"/>
      <c r="N115" s="111"/>
    </row>
    <row r="116" spans="1:14" x14ac:dyDescent="0.35">
      <c r="A116" s="118"/>
      <c r="B116" s="117"/>
      <c r="C116" s="117"/>
      <c r="E116" s="117"/>
      <c r="F116" s="117"/>
      <c r="G116" s="117"/>
      <c r="H116" s="117"/>
      <c r="I116" s="117"/>
      <c r="J116" s="117"/>
      <c r="K116" s="117"/>
      <c r="L116" s="117"/>
      <c r="M116" s="125"/>
      <c r="N116" s="111"/>
    </row>
    <row r="117" spans="1:14" x14ac:dyDescent="0.35">
      <c r="A117" s="118"/>
      <c r="B117" s="117"/>
      <c r="C117" s="117"/>
      <c r="E117" s="117"/>
      <c r="F117" s="117"/>
      <c r="G117" s="117"/>
      <c r="H117" s="117"/>
      <c r="I117" s="117"/>
      <c r="J117" s="117"/>
      <c r="K117" s="117"/>
      <c r="L117" s="117"/>
      <c r="M117" s="125"/>
      <c r="N117" s="111"/>
    </row>
    <row r="118" spans="1:14" x14ac:dyDescent="0.35">
      <c r="A118" s="118"/>
      <c r="B118" s="117"/>
      <c r="C118" s="117"/>
      <c r="E118" s="117"/>
      <c r="F118" s="117"/>
      <c r="G118" s="117"/>
      <c r="H118" s="117"/>
      <c r="I118" s="117"/>
      <c r="J118" s="117"/>
      <c r="K118" s="117"/>
      <c r="L118" s="117"/>
      <c r="M118" s="125"/>
      <c r="N118" s="111"/>
    </row>
    <row r="119" spans="1:14" x14ac:dyDescent="0.35">
      <c r="A119" s="127"/>
      <c r="B119" s="118"/>
      <c r="C119" s="117"/>
      <c r="E119" s="117"/>
      <c r="F119" s="117"/>
      <c r="G119" s="117"/>
      <c r="H119" s="117"/>
      <c r="I119" s="117"/>
      <c r="J119" s="117"/>
      <c r="K119" s="117"/>
      <c r="L119" s="117"/>
      <c r="M119" s="125"/>
      <c r="N119" s="111"/>
    </row>
    <row r="120" spans="1:14" x14ac:dyDescent="0.35">
      <c r="M120" s="125"/>
      <c r="N120" s="111"/>
    </row>
    <row r="121" spans="1:14" x14ac:dyDescent="0.35">
      <c r="M121" s="125"/>
      <c r="N121" s="111"/>
    </row>
    <row r="122" spans="1:14" x14ac:dyDescent="0.35">
      <c r="A122" s="112" t="s">
        <v>259</v>
      </c>
      <c r="B122" s="114"/>
      <c r="C122" s="117"/>
      <c r="E122" s="117"/>
      <c r="F122" s="117"/>
      <c r="G122" s="117"/>
      <c r="H122" s="117"/>
      <c r="I122" s="117"/>
      <c r="J122" s="117"/>
      <c r="K122" s="117"/>
      <c r="L122" s="117"/>
      <c r="M122" s="125"/>
      <c r="N122" s="111"/>
    </row>
    <row r="123" spans="1:14" x14ac:dyDescent="0.35">
      <c r="B123" s="118"/>
      <c r="C123" s="118"/>
      <c r="E123" s="118"/>
      <c r="F123" s="118"/>
      <c r="G123" s="118"/>
      <c r="H123" s="118"/>
      <c r="I123" s="118"/>
      <c r="J123" s="118"/>
      <c r="K123" s="118"/>
      <c r="L123" s="118"/>
      <c r="M123" s="125"/>
      <c r="N123" s="111"/>
    </row>
    <row r="124" spans="1:14" x14ac:dyDescent="0.35">
      <c r="A124" s="328" t="s">
        <v>0</v>
      </c>
      <c r="B124" s="330" t="s">
        <v>1</v>
      </c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</row>
    <row r="125" spans="1:14" x14ac:dyDescent="0.35">
      <c r="A125" s="329"/>
      <c r="B125" s="166">
        <v>1</v>
      </c>
      <c r="C125" s="166">
        <v>2</v>
      </c>
      <c r="D125" s="166">
        <v>2.33</v>
      </c>
      <c r="E125" s="166">
        <v>5</v>
      </c>
      <c r="F125" s="166">
        <v>10</v>
      </c>
      <c r="G125" s="166">
        <v>20</v>
      </c>
      <c r="H125" s="166">
        <v>50</v>
      </c>
      <c r="I125" s="166">
        <v>100</v>
      </c>
      <c r="J125" s="166">
        <v>200</v>
      </c>
      <c r="K125" s="166">
        <v>500</v>
      </c>
      <c r="L125" s="166">
        <v>1000</v>
      </c>
      <c r="M125" s="192">
        <v>5000</v>
      </c>
      <c r="N125" s="192">
        <v>10000</v>
      </c>
    </row>
    <row r="126" spans="1:14" x14ac:dyDescent="0.35">
      <c r="A126" s="313" t="s">
        <v>8</v>
      </c>
      <c r="B126" s="123">
        <f>+INDEX('Arun River at Uwa Gaon (600.1)'!$F$47:$F$59,'Regional flood frequency analys'!B198,)</f>
        <v>858.40324096909444</v>
      </c>
      <c r="C126" s="123">
        <f>+INDEX('Arun River at Uwa Gaon (600.1)'!$F$47:$F$59,'Regional flood frequency analys'!C198,)</f>
        <v>1352.3130563300926</v>
      </c>
      <c r="D126" s="123">
        <f>+INDEX('Arun River at Uwa Gaon (600.1)'!$F$47:$F$59,'Regional flood frequency analys'!D198,)</f>
        <v>1396.5360814671876</v>
      </c>
      <c r="E126" s="123">
        <f>+INDEX('Arun River at Uwa Gaon (600.1)'!$F$47:$F$59,'Regional flood frequency analys'!E198,)</f>
        <v>1574.3583134793946</v>
      </c>
      <c r="F126" s="123">
        <f>+INDEX('Arun River at Uwa Gaon (600.1)'!$F$47:$F$59,'Regional flood frequency analys'!F198,)</f>
        <v>1704.7088299448419</v>
      </c>
      <c r="G126" s="123">
        <f>+INDEX('Arun River at Uwa Gaon (600.1)'!$F$47:$F$59,'Regional flood frequency analys'!G198,)</f>
        <v>1820.4192485747451</v>
      </c>
      <c r="H126" s="123">
        <f>+INDEX('Arun River at Uwa Gaon (600.1)'!$F$47:$F$59,'Regional flood frequency analys'!H198,)</f>
        <v>1960.0285482679385</v>
      </c>
      <c r="I126" s="123">
        <f>+INDEX('Arun River at Uwa Gaon (600.1)'!$F$47:$F$59,'Regional flood frequency analys'!I198,)</f>
        <v>2058.979777402631</v>
      </c>
      <c r="J126" s="123">
        <f>+INDEX('Arun River at Uwa Gaon (600.1)'!$F$47:$F$59,'Regional flood frequency analys'!J198,)</f>
        <v>2153.9002002338152</v>
      </c>
      <c r="K126" s="123">
        <f>+INDEX('Arun River at Uwa Gaon (600.1)'!$F$47:$F$59,'Regional flood frequency analys'!K198,)</f>
        <v>2274.8020077592519</v>
      </c>
      <c r="L126" s="123">
        <f>+INDEX('Arun River at Uwa Gaon (600.1)'!$F$47:$F$59,'Regional flood frequency analys'!L198,)</f>
        <v>2363.6312901426136</v>
      </c>
      <c r="M126" s="123">
        <f>+INDEX('Arun River at Uwa Gaon (600.1)'!$F$47:$F$59,'Regional flood frequency analys'!M198,)</f>
        <v>2563.7033916840105</v>
      </c>
      <c r="N126" s="123">
        <f>+INDEX('Arun River at Uwa Gaon (600.1)'!$F$47:$F$59,'Regional flood frequency analys'!N198,)</f>
        <v>2647.9136411604873</v>
      </c>
    </row>
    <row r="127" spans="1:14" x14ac:dyDescent="0.35">
      <c r="A127" s="313" t="s">
        <v>9</v>
      </c>
      <c r="B127" s="123">
        <f>+INDEX('Arun River at Uwa Gaon (600.1)'!$I$47:$I$59,'Regional flood frequency analys'!B198,)</f>
        <v>797.65378680706385</v>
      </c>
      <c r="C127" s="123">
        <f>+INDEX('Arun River at Uwa Gaon (600.1)'!$I$47:$I$59,'Regional flood frequency analys'!C198,)</f>
        <v>1370.9925128635991</v>
      </c>
      <c r="D127" s="123">
        <f>+INDEX('Arun River at Uwa Gaon (600.1)'!$I$47:$I$59,'Regional flood frequency analys'!D198,)</f>
        <v>1414.683721109458</v>
      </c>
      <c r="E127" s="123">
        <f>+INDEX('Arun River at Uwa Gaon (600.1)'!$I$47:$I$59,'Regional flood frequency analys'!E198,)</f>
        <v>1578.2140854157904</v>
      </c>
      <c r="F127" s="123">
        <f>+INDEX('Arun River at Uwa Gaon (600.1)'!$I$47:$I$59,'Regional flood frequency analys'!F198,)</f>
        <v>1686.4433483883608</v>
      </c>
      <c r="G127" s="123">
        <f>+INDEX('Arun River at Uwa Gaon (600.1)'!$I$47:$I$59,'Regional flood frequency analys'!G198,)</f>
        <v>1774.9282537674003</v>
      </c>
      <c r="H127" s="123">
        <f>+INDEX('Arun River at Uwa Gaon (600.1)'!$I$47:$I$59,'Regional flood frequency analys'!H198,)</f>
        <v>1872.9554232804892</v>
      </c>
      <c r="I127" s="123">
        <f>+INDEX('Arun River at Uwa Gaon (600.1)'!$I$47:$I$59,'Regional flood frequency analys'!I198,)</f>
        <v>1937.1025211702602</v>
      </c>
      <c r="J127" s="123">
        <f>+INDEX('Arun River at Uwa Gaon (600.1)'!$I$47:$I$59,'Regional flood frequency analys'!J198,)</f>
        <v>1994.7951853780989</v>
      </c>
      <c r="K127" s="123">
        <f>+INDEX('Arun River at Uwa Gaon (600.1)'!$I$47:$I$59,'Regional flood frequency analys'!K198,)</f>
        <v>2063.2279532432244</v>
      </c>
      <c r="L127" s="123">
        <f>+INDEX('Arun River at Uwa Gaon (600.1)'!$I$47:$I$59,'Regional flood frequency analys'!L198,)</f>
        <v>2110.1564854491958</v>
      </c>
      <c r="M127" s="123">
        <f>+INDEX('Arun River at Uwa Gaon (600.1)'!$I$47:$I$59,'Regional flood frequency analys'!M198,)</f>
        <v>2206.4382310925798</v>
      </c>
      <c r="N127" s="123">
        <f>+INDEX('Arun River at Uwa Gaon (600.1)'!$I$47:$I$59,'Regional flood frequency analys'!N198,)</f>
        <v>2243.4002477403246</v>
      </c>
    </row>
    <row r="128" spans="1:14" x14ac:dyDescent="0.35">
      <c r="A128" s="120" t="s">
        <v>7</v>
      </c>
      <c r="B128" s="121" t="s">
        <v>73</v>
      </c>
      <c r="C128" s="122">
        <f>+INDEX('Arun River at Uwa Gaon (600.1)'!$K$47:$K$59,'Regional flood frequency analys'!C198,)</f>
        <v>1333.6379986843704</v>
      </c>
      <c r="D128" s="122">
        <f>+INDEX('Arun River at Uwa Gaon (600.1)'!$K$47:$K$59,'Regional flood frequency analys'!D198,)</f>
        <v>1373.2970216638953</v>
      </c>
      <c r="E128" s="122">
        <f>+INDEX('Arun River at Uwa Gaon (600.1)'!$K$47:$K$59,'Regional flood frequency analys'!E198,)</f>
        <v>1545.5938004055492</v>
      </c>
      <c r="F128" s="122">
        <f>+INDEX('Arun River at Uwa Gaon (600.1)'!$K$47:$K$59,'Regional flood frequency analys'!F198,)</f>
        <v>1685.92698402782</v>
      </c>
      <c r="G128" s="122">
        <f>+INDEX('Arun River at Uwa Gaon (600.1)'!$K$47:$K$59,'Regional flood frequency analys'!G198,)</f>
        <v>1820.5379429543755</v>
      </c>
      <c r="H128" s="122">
        <f>+INDEX('Arun River at Uwa Gaon (600.1)'!$K$47:$K$59,'Regional flood frequency analys'!H198,)</f>
        <v>1994.778021671088</v>
      </c>
      <c r="I128" s="122">
        <f>+INDEX('Arun River at Uwa Gaon (600.1)'!$K$47:$K$59,'Regional flood frequency analys'!I198,)</f>
        <v>2125.3464413823722</v>
      </c>
      <c r="J128" s="122">
        <f>+INDEX('Arun River at Uwa Gaon (600.1)'!$K$47:$K$59,'Regional flood frequency analys'!J198,)</f>
        <v>2255.4384388626427</v>
      </c>
      <c r="K128" s="122">
        <f>+INDEX('Arun River at Uwa Gaon (600.1)'!$K$47:$K$59,'Regional flood frequency analys'!K198,)</f>
        <v>2427.0701270491995</v>
      </c>
      <c r="L128" s="122">
        <f>+INDEX('Arun River at Uwa Gaon (600.1)'!$K$47:$K$59,'Regional flood frequency analys'!L198,)</f>
        <v>2556.7852903027942</v>
      </c>
      <c r="M128" s="122">
        <f>+INDEX('Arun River at Uwa Gaon (600.1)'!$K$47:$K$59,'Regional flood frequency analys'!M198,)</f>
        <v>2857.8320342625011</v>
      </c>
      <c r="N128" s="122">
        <f>+INDEX('Arun River at Uwa Gaon (600.1)'!$K$47:$K$59,'Regional flood frequency analys'!N198,)</f>
        <v>2987.462929682134</v>
      </c>
    </row>
    <row r="129" spans="1:14" x14ac:dyDescent="0.35">
      <c r="A129" s="127"/>
      <c r="B129" s="118"/>
      <c r="C129" s="117"/>
      <c r="E129" s="117"/>
      <c r="F129" s="117"/>
      <c r="G129" s="117"/>
      <c r="H129" s="117"/>
      <c r="I129" s="117"/>
      <c r="J129" s="117"/>
      <c r="K129" s="117"/>
      <c r="L129" s="117"/>
      <c r="M129" s="125"/>
      <c r="N129" s="111"/>
    </row>
    <row r="130" spans="1:14" x14ac:dyDescent="0.35">
      <c r="A130" s="127"/>
      <c r="B130" s="118"/>
      <c r="C130" s="117"/>
      <c r="E130" s="117"/>
      <c r="F130" s="117"/>
      <c r="G130" s="117"/>
      <c r="H130" s="117"/>
      <c r="I130" s="117"/>
      <c r="J130" s="117"/>
      <c r="K130" s="117"/>
      <c r="L130" s="117"/>
      <c r="M130" s="125"/>
      <c r="N130" s="111"/>
    </row>
    <row r="131" spans="1:14" x14ac:dyDescent="0.35">
      <c r="A131" s="127"/>
      <c r="B131" s="118"/>
      <c r="C131" s="117"/>
      <c r="E131" s="117"/>
      <c r="F131" s="117"/>
      <c r="G131" s="117"/>
      <c r="H131" s="117"/>
      <c r="I131" s="117"/>
      <c r="J131" s="117"/>
      <c r="K131" s="117"/>
      <c r="L131" s="117"/>
      <c r="M131" s="125"/>
      <c r="N131" s="111"/>
    </row>
    <row r="132" spans="1:14" x14ac:dyDescent="0.35">
      <c r="A132" s="127"/>
      <c r="B132" s="118"/>
      <c r="C132" s="117"/>
      <c r="E132" s="117"/>
      <c r="F132" s="117"/>
      <c r="G132" s="117"/>
      <c r="H132" s="117"/>
      <c r="I132" s="117"/>
      <c r="J132" s="117"/>
      <c r="K132" s="117"/>
      <c r="L132" s="117"/>
      <c r="M132" s="125"/>
      <c r="N132" s="111"/>
    </row>
    <row r="133" spans="1:14" x14ac:dyDescent="0.35">
      <c r="A133" s="127"/>
      <c r="B133" s="118"/>
      <c r="C133" s="117"/>
      <c r="E133" s="117"/>
      <c r="F133" s="117"/>
      <c r="G133" s="117"/>
      <c r="H133" s="117"/>
      <c r="I133" s="117"/>
      <c r="J133" s="117"/>
      <c r="K133" s="117"/>
      <c r="L133" s="117"/>
      <c r="M133" s="125"/>
      <c r="N133" s="111"/>
    </row>
    <row r="134" spans="1:14" x14ac:dyDescent="0.35">
      <c r="A134" s="127"/>
      <c r="B134" s="118"/>
      <c r="C134" s="117"/>
      <c r="E134" s="117"/>
      <c r="F134" s="117"/>
      <c r="G134" s="117"/>
      <c r="H134" s="117"/>
      <c r="I134" s="117"/>
      <c r="J134" s="117"/>
      <c r="K134" s="117"/>
      <c r="L134" s="117"/>
      <c r="M134" s="125"/>
      <c r="N134" s="111"/>
    </row>
    <row r="135" spans="1:14" x14ac:dyDescent="0.35">
      <c r="A135" s="127"/>
      <c r="B135" s="118"/>
      <c r="C135" s="117"/>
      <c r="E135" s="117"/>
      <c r="F135" s="117"/>
      <c r="G135" s="117"/>
      <c r="H135" s="117"/>
      <c r="I135" s="117"/>
      <c r="J135" s="117"/>
      <c r="K135" s="117"/>
      <c r="L135" s="117"/>
      <c r="M135" s="125"/>
      <c r="N135" s="111"/>
    </row>
    <row r="136" spans="1:14" x14ac:dyDescent="0.35">
      <c r="A136" s="127"/>
      <c r="B136" s="118"/>
      <c r="C136" s="117"/>
      <c r="E136" s="117"/>
      <c r="F136" s="117"/>
      <c r="G136" s="117"/>
      <c r="H136" s="117"/>
      <c r="I136" s="117"/>
      <c r="J136" s="117"/>
      <c r="K136" s="117"/>
      <c r="L136" s="117"/>
      <c r="M136" s="125"/>
      <c r="N136" s="111"/>
    </row>
    <row r="137" spans="1:14" x14ac:dyDescent="0.35">
      <c r="A137" s="127"/>
      <c r="B137" s="118"/>
      <c r="C137" s="117"/>
      <c r="E137" s="117"/>
      <c r="F137" s="117"/>
      <c r="G137" s="117"/>
      <c r="H137" s="117"/>
      <c r="I137" s="117"/>
      <c r="J137" s="117"/>
      <c r="K137" s="117"/>
      <c r="L137" s="117"/>
      <c r="M137" s="125"/>
      <c r="N137" s="111"/>
    </row>
    <row r="138" spans="1:14" x14ac:dyDescent="0.35">
      <c r="A138" s="127"/>
      <c r="B138" s="118"/>
      <c r="C138" s="117"/>
      <c r="E138" s="117"/>
      <c r="F138" s="117"/>
      <c r="G138" s="117"/>
      <c r="H138" s="117"/>
      <c r="I138" s="117"/>
      <c r="J138" s="117"/>
      <c r="K138" s="117"/>
      <c r="L138" s="117"/>
      <c r="M138" s="125"/>
      <c r="N138" s="111"/>
    </row>
    <row r="139" spans="1:14" x14ac:dyDescent="0.35">
      <c r="L139" s="104"/>
      <c r="M139" s="125"/>
      <c r="N139" s="111"/>
    </row>
    <row r="140" spans="1:14" x14ac:dyDescent="0.35">
      <c r="L140" s="104"/>
      <c r="M140" s="125"/>
      <c r="N140" s="111"/>
    </row>
    <row r="141" spans="1:14" x14ac:dyDescent="0.35">
      <c r="L141" s="104"/>
      <c r="M141" s="125"/>
      <c r="N141" s="111"/>
    </row>
    <row r="142" spans="1:14" x14ac:dyDescent="0.35">
      <c r="L142" s="104"/>
      <c r="M142" s="125"/>
      <c r="N142" s="111"/>
    </row>
    <row r="143" spans="1:14" x14ac:dyDescent="0.35">
      <c r="L143" s="104"/>
      <c r="M143" s="125"/>
      <c r="N143" s="111"/>
    </row>
    <row r="144" spans="1:14" hidden="1" x14ac:dyDescent="0.35">
      <c r="A144" s="112" t="s">
        <v>125</v>
      </c>
      <c r="B144" s="114"/>
      <c r="C144" s="117"/>
      <c r="E144" s="117"/>
      <c r="F144" s="117"/>
      <c r="G144" s="117"/>
      <c r="H144" s="117"/>
      <c r="I144" s="117"/>
      <c r="J144" s="117"/>
      <c r="K144" s="117"/>
      <c r="L144" s="117"/>
      <c r="M144" s="125"/>
      <c r="N144" s="111"/>
    </row>
    <row r="145" spans="1:14" hidden="1" x14ac:dyDescent="0.35">
      <c r="B145" s="118"/>
      <c r="C145" s="118"/>
      <c r="E145" s="118"/>
      <c r="F145" s="118"/>
      <c r="G145" s="118"/>
      <c r="H145" s="118"/>
      <c r="I145" s="118"/>
      <c r="J145" s="118"/>
      <c r="K145" s="118"/>
      <c r="L145" s="118"/>
      <c r="M145" s="125"/>
      <c r="N145" s="111"/>
    </row>
    <row r="146" spans="1:14" hidden="1" x14ac:dyDescent="0.35">
      <c r="A146" s="164" t="s">
        <v>0</v>
      </c>
      <c r="B146" s="330" t="s">
        <v>1</v>
      </c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</row>
    <row r="147" spans="1:14" hidden="1" x14ac:dyDescent="0.35">
      <c r="A147" s="165"/>
      <c r="B147" s="166">
        <v>1</v>
      </c>
      <c r="C147" s="166">
        <v>2</v>
      </c>
      <c r="D147" s="166">
        <v>2.33</v>
      </c>
      <c r="E147" s="166">
        <v>5</v>
      </c>
      <c r="F147" s="166">
        <v>10</v>
      </c>
      <c r="G147" s="166">
        <v>20</v>
      </c>
      <c r="H147" s="166">
        <v>50</v>
      </c>
      <c r="I147" s="166">
        <v>100</v>
      </c>
      <c r="J147" s="166">
        <v>200</v>
      </c>
      <c r="K147" s="166">
        <v>500</v>
      </c>
      <c r="L147" s="163">
        <v>1000</v>
      </c>
      <c r="M147" s="192">
        <v>5000</v>
      </c>
      <c r="N147" s="192">
        <v>10000</v>
      </c>
    </row>
    <row r="148" spans="1:14" hidden="1" x14ac:dyDescent="0.35">
      <c r="A148" s="115" t="s">
        <v>8</v>
      </c>
      <c r="B148" s="123" t="e">
        <f>+INDEX(#REF!,'Regional flood frequency analys'!B198,)</f>
        <v>#REF!</v>
      </c>
      <c r="C148" s="123" t="e">
        <f>+INDEX(#REF!,'Regional flood frequency analys'!C198,)</f>
        <v>#REF!</v>
      </c>
      <c r="D148" s="123" t="e">
        <f>+INDEX(#REF!,'Regional flood frequency analys'!D198,)</f>
        <v>#REF!</v>
      </c>
      <c r="E148" s="123" t="e">
        <f>+INDEX(#REF!,'Regional flood frequency analys'!E198,)</f>
        <v>#REF!</v>
      </c>
      <c r="F148" s="123" t="e">
        <f>+INDEX(#REF!,'Regional flood frequency analys'!F198,)</f>
        <v>#REF!</v>
      </c>
      <c r="G148" s="123" t="e">
        <f>+INDEX(#REF!,'Regional flood frequency analys'!G198,)</f>
        <v>#REF!</v>
      </c>
      <c r="H148" s="123" t="e">
        <f>+INDEX(#REF!,'Regional flood frequency analys'!H198,)</f>
        <v>#REF!</v>
      </c>
      <c r="I148" s="123" t="e">
        <f>+INDEX(#REF!,'Regional flood frequency analys'!I198,)</f>
        <v>#REF!</v>
      </c>
      <c r="J148" s="123" t="e">
        <f>+INDEX(#REF!,'Regional flood frequency analys'!J198,)</f>
        <v>#REF!</v>
      </c>
      <c r="K148" s="123" t="e">
        <f>+INDEX(#REF!,'Regional flood frequency analys'!K198,)</f>
        <v>#REF!</v>
      </c>
      <c r="L148" s="123" t="e">
        <f>+INDEX(#REF!,'Regional flood frequency analys'!L198,)</f>
        <v>#REF!</v>
      </c>
      <c r="M148" s="123" t="e">
        <f>+INDEX(#REF!,'Regional flood frequency analys'!M198,)</f>
        <v>#REF!</v>
      </c>
      <c r="N148" s="123" t="e">
        <f>+INDEX(#REF!,'Regional flood frequency analys'!N198,)</f>
        <v>#REF!</v>
      </c>
    </row>
    <row r="149" spans="1:14" hidden="1" x14ac:dyDescent="0.35">
      <c r="A149" s="120" t="s">
        <v>9</v>
      </c>
      <c r="B149" s="124" t="e">
        <f>+INDEX(#REF!,'Regional flood frequency analys'!B198,)</f>
        <v>#REF!</v>
      </c>
      <c r="C149" s="124" t="e">
        <f>+INDEX(#REF!,'Regional flood frequency analys'!C198,)</f>
        <v>#REF!</v>
      </c>
      <c r="D149" s="124" t="e">
        <f>+INDEX(#REF!,'Regional flood frequency analys'!D198,)</f>
        <v>#REF!</v>
      </c>
      <c r="E149" s="124" t="e">
        <f>+INDEX(#REF!,'Regional flood frequency analys'!E198,)</f>
        <v>#REF!</v>
      </c>
      <c r="F149" s="124" t="e">
        <f>+INDEX(#REF!,'Regional flood frequency analys'!F198,)</f>
        <v>#REF!</v>
      </c>
      <c r="G149" s="124" t="e">
        <f>+INDEX(#REF!,'Regional flood frequency analys'!G198,)</f>
        <v>#REF!</v>
      </c>
      <c r="H149" s="124" t="e">
        <f>+INDEX(#REF!,'Regional flood frequency analys'!H198,)</f>
        <v>#REF!</v>
      </c>
      <c r="I149" s="124" t="e">
        <f>+INDEX(#REF!,'Regional flood frequency analys'!I198,)</f>
        <v>#REF!</v>
      </c>
      <c r="J149" s="124" t="e">
        <f>+INDEX(#REF!,'Regional flood frequency analys'!J198,)</f>
        <v>#REF!</v>
      </c>
      <c r="K149" s="124" t="e">
        <f>+INDEX(#REF!,'Regional flood frequency analys'!K198,)</f>
        <v>#REF!</v>
      </c>
      <c r="L149" s="124" t="e">
        <f>+INDEX(#REF!,'Regional flood frequency analys'!L198,)</f>
        <v>#REF!</v>
      </c>
      <c r="M149" s="124" t="e">
        <f>+INDEX(#REF!,'Regional flood frequency analys'!M198,)</f>
        <v>#REF!</v>
      </c>
      <c r="N149" s="124" t="e">
        <f>+INDEX(#REF!,'Regional flood frequency analys'!N198,)</f>
        <v>#REF!</v>
      </c>
    </row>
    <row r="150" spans="1:14" hidden="1" x14ac:dyDescent="0.35">
      <c r="A150" s="148" t="s">
        <v>7</v>
      </c>
      <c r="B150" s="123" t="s">
        <v>73</v>
      </c>
      <c r="C150" s="123" t="e">
        <f>+INDEX(#REF!,'Regional flood frequency analys'!C198,)</f>
        <v>#REF!</v>
      </c>
      <c r="D150" s="123" t="e">
        <f>+INDEX(#REF!,'Regional flood frequency analys'!D198,)</f>
        <v>#REF!</v>
      </c>
      <c r="E150" s="123" t="e">
        <f>+INDEX(#REF!,'Regional flood frequency analys'!E198,)</f>
        <v>#REF!</v>
      </c>
      <c r="F150" s="123" t="e">
        <f>+INDEX(#REF!,'Regional flood frequency analys'!F198,)</f>
        <v>#REF!</v>
      </c>
      <c r="G150" s="123" t="e">
        <f>+INDEX(#REF!,'Regional flood frequency analys'!G198,)</f>
        <v>#REF!</v>
      </c>
      <c r="H150" s="123" t="e">
        <f>+INDEX(#REF!,'Regional flood frequency analys'!H198,)</f>
        <v>#REF!</v>
      </c>
      <c r="I150" s="123" t="e">
        <f>+INDEX(#REF!,'Regional flood frequency analys'!I198,)</f>
        <v>#REF!</v>
      </c>
      <c r="J150" s="123" t="e">
        <f>+INDEX(#REF!,'Regional flood frequency analys'!J198,)</f>
        <v>#REF!</v>
      </c>
      <c r="K150" s="123" t="e">
        <f>+INDEX(#REF!,'Regional flood frequency analys'!K198,)</f>
        <v>#REF!</v>
      </c>
      <c r="L150" s="123" t="e">
        <f>+INDEX(#REF!,'Regional flood frequency analys'!L198,)</f>
        <v>#REF!</v>
      </c>
      <c r="M150" s="123" t="e">
        <f>+INDEX(#REF!,'Regional flood frequency analys'!M198,)</f>
        <v>#REF!</v>
      </c>
      <c r="N150" s="123" t="e">
        <f>+INDEX(#REF!,'Regional flood frequency analys'!N198,)</f>
        <v>#REF!</v>
      </c>
    </row>
    <row r="151" spans="1:14" hidden="1" x14ac:dyDescent="0.35">
      <c r="M151" s="125"/>
      <c r="N151" s="111"/>
    </row>
    <row r="152" spans="1:14" hidden="1" x14ac:dyDescent="0.35">
      <c r="L152" s="104"/>
      <c r="M152" s="125"/>
      <c r="N152" s="111"/>
    </row>
    <row r="153" spans="1:14" hidden="1" x14ac:dyDescent="0.35">
      <c r="L153" s="104"/>
      <c r="M153" s="125"/>
      <c r="N153" s="111"/>
    </row>
    <row r="154" spans="1:14" hidden="1" x14ac:dyDescent="0.35">
      <c r="L154" s="104"/>
      <c r="M154" s="125"/>
      <c r="N154" s="111"/>
    </row>
    <row r="155" spans="1:14" hidden="1" x14ac:dyDescent="0.35">
      <c r="L155" s="104"/>
      <c r="M155" s="125"/>
      <c r="N155" s="111"/>
    </row>
    <row r="156" spans="1:14" hidden="1" x14ac:dyDescent="0.35">
      <c r="L156" s="104"/>
      <c r="M156" s="125"/>
      <c r="N156" s="111"/>
    </row>
    <row r="157" spans="1:14" hidden="1" x14ac:dyDescent="0.35">
      <c r="L157" s="104"/>
      <c r="M157" s="125"/>
      <c r="N157" s="111"/>
    </row>
    <row r="158" spans="1:14" hidden="1" x14ac:dyDescent="0.35">
      <c r="L158" s="104"/>
      <c r="M158" s="125"/>
      <c r="N158" s="111"/>
    </row>
    <row r="159" spans="1:14" hidden="1" x14ac:dyDescent="0.35">
      <c r="L159" s="104"/>
      <c r="M159" s="125"/>
      <c r="N159" s="111"/>
    </row>
    <row r="160" spans="1:14" hidden="1" x14ac:dyDescent="0.35">
      <c r="L160" s="104"/>
      <c r="M160" s="125"/>
      <c r="N160" s="111"/>
    </row>
    <row r="161" spans="1:14" hidden="1" x14ac:dyDescent="0.35">
      <c r="L161" s="104"/>
      <c r="M161" s="125"/>
      <c r="N161" s="111"/>
    </row>
    <row r="162" spans="1:14" hidden="1" x14ac:dyDescent="0.35">
      <c r="L162" s="104"/>
      <c r="M162" s="125"/>
      <c r="N162" s="111"/>
    </row>
    <row r="163" spans="1:14" hidden="1" x14ac:dyDescent="0.35">
      <c r="L163" s="104"/>
      <c r="M163" s="125"/>
      <c r="N163" s="111"/>
    </row>
    <row r="164" spans="1:14" hidden="1" x14ac:dyDescent="0.35">
      <c r="L164" s="104"/>
      <c r="M164" s="125"/>
      <c r="N164" s="111"/>
    </row>
    <row r="165" spans="1:14" hidden="1" x14ac:dyDescent="0.35">
      <c r="L165" s="104"/>
      <c r="M165" s="125"/>
      <c r="N165" s="111"/>
    </row>
    <row r="166" spans="1:14" hidden="1" x14ac:dyDescent="0.35">
      <c r="L166" s="104"/>
      <c r="M166" s="125"/>
      <c r="N166" s="111"/>
    </row>
    <row r="167" spans="1:14" hidden="1" x14ac:dyDescent="0.35">
      <c r="A167" s="112" t="s">
        <v>124</v>
      </c>
      <c r="B167" s="114"/>
      <c r="C167" s="117"/>
      <c r="E167" s="117"/>
      <c r="F167" s="117"/>
      <c r="G167" s="117"/>
      <c r="H167" s="117"/>
      <c r="I167" s="117"/>
      <c r="J167" s="117"/>
      <c r="K167" s="117"/>
      <c r="L167" s="117"/>
      <c r="M167" s="125"/>
      <c r="N167" s="111"/>
    </row>
    <row r="168" spans="1:14" hidden="1" x14ac:dyDescent="0.35">
      <c r="B168" s="118"/>
      <c r="C168" s="118"/>
      <c r="E168" s="118"/>
      <c r="F168" s="118"/>
      <c r="G168" s="118"/>
      <c r="H168" s="118"/>
      <c r="I168" s="118"/>
      <c r="J168" s="118"/>
      <c r="K168" s="118"/>
      <c r="L168" s="118"/>
      <c r="M168" s="125"/>
      <c r="N168" s="111"/>
    </row>
    <row r="169" spans="1:14" hidden="1" x14ac:dyDescent="0.35">
      <c r="A169" s="328" t="s">
        <v>0</v>
      </c>
      <c r="B169" s="330" t="s">
        <v>1</v>
      </c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</row>
    <row r="170" spans="1:14" hidden="1" x14ac:dyDescent="0.35">
      <c r="A170" s="329"/>
      <c r="B170" s="166">
        <v>1</v>
      </c>
      <c r="C170" s="166">
        <v>2</v>
      </c>
      <c r="D170" s="166">
        <v>2.33</v>
      </c>
      <c r="E170" s="166">
        <v>5</v>
      </c>
      <c r="F170" s="166">
        <v>10</v>
      </c>
      <c r="G170" s="166">
        <v>20</v>
      </c>
      <c r="H170" s="166">
        <v>50</v>
      </c>
      <c r="I170" s="166">
        <v>100</v>
      </c>
      <c r="J170" s="166">
        <v>200</v>
      </c>
      <c r="K170" s="166">
        <v>500</v>
      </c>
      <c r="L170" s="173">
        <v>1000</v>
      </c>
      <c r="M170" s="192">
        <v>5000</v>
      </c>
      <c r="N170" s="192">
        <v>10000</v>
      </c>
    </row>
    <row r="171" spans="1:14" hidden="1" x14ac:dyDescent="0.35">
      <c r="A171" s="115" t="s">
        <v>8</v>
      </c>
      <c r="B171" s="123" t="e">
        <f>+INDEX(#REF!,'Regional flood frequency analys'!B198,)</f>
        <v>#REF!</v>
      </c>
      <c r="C171" s="123" t="e">
        <f>+INDEX(#REF!,'Regional flood frequency analys'!C198,)</f>
        <v>#REF!</v>
      </c>
      <c r="D171" s="123" t="e">
        <f>+INDEX(#REF!,'Regional flood frequency analys'!D198,)</f>
        <v>#REF!</v>
      </c>
      <c r="E171" s="123" t="e">
        <f>+INDEX(#REF!,'Regional flood frequency analys'!E198,)</f>
        <v>#REF!</v>
      </c>
      <c r="F171" s="123" t="e">
        <f>+INDEX(#REF!,'Regional flood frequency analys'!F198,)</f>
        <v>#REF!</v>
      </c>
      <c r="G171" s="123" t="e">
        <f>+INDEX(#REF!,'Regional flood frequency analys'!G198,)</f>
        <v>#REF!</v>
      </c>
      <c r="H171" s="123" t="e">
        <f>+INDEX(#REF!,'Regional flood frequency analys'!H198,)</f>
        <v>#REF!</v>
      </c>
      <c r="I171" s="123" t="e">
        <f>+INDEX(#REF!,'Regional flood frequency analys'!I198,)</f>
        <v>#REF!</v>
      </c>
      <c r="J171" s="123" t="e">
        <f>+INDEX(#REF!,'Regional flood frequency analys'!J198,)</f>
        <v>#REF!</v>
      </c>
      <c r="K171" s="123" t="e">
        <f>+INDEX(#REF!,'Regional flood frequency analys'!K198,)</f>
        <v>#REF!</v>
      </c>
      <c r="L171" s="123" t="e">
        <f>+INDEX(#REF!,'Regional flood frequency analys'!L198,)</f>
        <v>#REF!</v>
      </c>
      <c r="M171" s="123" t="e">
        <f>+INDEX(#REF!,'Regional flood frequency analys'!M198,)</f>
        <v>#REF!</v>
      </c>
      <c r="N171" s="123" t="e">
        <f>+INDEX(#REF!,'Regional flood frequency analys'!N198,)</f>
        <v>#REF!</v>
      </c>
    </row>
    <row r="172" spans="1:14" hidden="1" x14ac:dyDescent="0.35">
      <c r="A172" s="115" t="s">
        <v>9</v>
      </c>
      <c r="B172" s="123" t="e">
        <f>+INDEX(#REF!,'Regional flood frequency analys'!B198,)</f>
        <v>#REF!</v>
      </c>
      <c r="C172" s="123" t="e">
        <f>+INDEX(#REF!,'Regional flood frequency analys'!C198,)</f>
        <v>#REF!</v>
      </c>
      <c r="D172" s="123" t="e">
        <f>+INDEX(#REF!,'Regional flood frequency analys'!D198,)</f>
        <v>#REF!</v>
      </c>
      <c r="E172" s="123" t="e">
        <f>+INDEX(#REF!,'Regional flood frequency analys'!E198,)</f>
        <v>#REF!</v>
      </c>
      <c r="F172" s="123" t="e">
        <f>+INDEX(#REF!,'Regional flood frequency analys'!F198,)</f>
        <v>#REF!</v>
      </c>
      <c r="G172" s="123" t="e">
        <f>+INDEX(#REF!,'Regional flood frequency analys'!G198,)</f>
        <v>#REF!</v>
      </c>
      <c r="H172" s="123" t="e">
        <f>+INDEX(#REF!,'Regional flood frequency analys'!H198,)</f>
        <v>#REF!</v>
      </c>
      <c r="I172" s="123" t="e">
        <f>+INDEX(#REF!,'Regional flood frequency analys'!I198,)</f>
        <v>#REF!</v>
      </c>
      <c r="J172" s="123" t="e">
        <f>+INDEX(#REF!,'Regional flood frequency analys'!J198,)</f>
        <v>#REF!</v>
      </c>
      <c r="K172" s="123" t="e">
        <f>+INDEX(#REF!,'Regional flood frequency analys'!K198,)</f>
        <v>#REF!</v>
      </c>
      <c r="L172" s="123" t="e">
        <f>+INDEX(#REF!,'Regional flood frequency analys'!L198,)</f>
        <v>#REF!</v>
      </c>
      <c r="M172" s="123" t="e">
        <f>+INDEX(#REF!,'Regional flood frequency analys'!M198,)</f>
        <v>#REF!</v>
      </c>
      <c r="N172" s="123" t="e">
        <f>+INDEX(#REF!,'Regional flood frequency analys'!N198,)</f>
        <v>#REF!</v>
      </c>
    </row>
    <row r="173" spans="1:14" hidden="1" x14ac:dyDescent="0.35">
      <c r="A173" s="120" t="s">
        <v>7</v>
      </c>
      <c r="B173" s="124" t="s">
        <v>73</v>
      </c>
      <c r="C173" s="124" t="e">
        <f>+INDEX(#REF!,'Regional flood frequency analys'!C198,)</f>
        <v>#REF!</v>
      </c>
      <c r="D173" s="124" t="e">
        <f>+INDEX(#REF!,'Regional flood frequency analys'!D198,)</f>
        <v>#REF!</v>
      </c>
      <c r="E173" s="124" t="e">
        <f>+INDEX(#REF!,'Regional flood frequency analys'!E198,)</f>
        <v>#REF!</v>
      </c>
      <c r="F173" s="124" t="e">
        <f>+INDEX(#REF!,'Regional flood frequency analys'!F198,)</f>
        <v>#REF!</v>
      </c>
      <c r="G173" s="124" t="e">
        <f>+INDEX(#REF!,'Regional flood frequency analys'!G198,)</f>
        <v>#REF!</v>
      </c>
      <c r="H173" s="124" t="e">
        <f>+INDEX(#REF!,'Regional flood frequency analys'!H198,)</f>
        <v>#REF!</v>
      </c>
      <c r="I173" s="124" t="e">
        <f>+INDEX(#REF!,'Regional flood frequency analys'!I198,)</f>
        <v>#REF!</v>
      </c>
      <c r="J173" s="124" t="e">
        <f>+INDEX(#REF!,'Regional flood frequency analys'!J198,)</f>
        <v>#REF!</v>
      </c>
      <c r="K173" s="124" t="e">
        <f>+INDEX(#REF!,'Regional flood frequency analys'!K198,)</f>
        <v>#REF!</v>
      </c>
      <c r="L173" s="124" t="e">
        <f>+INDEX(#REF!,'Regional flood frequency analys'!L198,)</f>
        <v>#REF!</v>
      </c>
      <c r="M173" s="124" t="e">
        <f>+INDEX(#REF!,'Regional flood frequency analys'!M198,)</f>
        <v>#REF!</v>
      </c>
      <c r="N173" s="124" t="e">
        <f>+INDEX(#REF!,'Regional flood frequency analys'!N198,)</f>
        <v>#REF!</v>
      </c>
    </row>
    <row r="174" spans="1:14" hidden="1" x14ac:dyDescent="0.35">
      <c r="L174" s="104"/>
      <c r="M174" s="125"/>
      <c r="N174" s="111"/>
    </row>
    <row r="175" spans="1:14" hidden="1" x14ac:dyDescent="0.35">
      <c r="L175" s="104"/>
      <c r="M175" s="125"/>
      <c r="N175" s="111"/>
    </row>
    <row r="176" spans="1:14" hidden="1" x14ac:dyDescent="0.35">
      <c r="L176" s="104"/>
      <c r="M176" s="125"/>
      <c r="N176" s="111"/>
    </row>
    <row r="177" spans="1:14" hidden="1" x14ac:dyDescent="0.35">
      <c r="L177" s="104"/>
      <c r="M177" s="125"/>
      <c r="N177" s="111"/>
    </row>
    <row r="178" spans="1:14" hidden="1" x14ac:dyDescent="0.35">
      <c r="L178" s="104"/>
      <c r="M178" s="125"/>
      <c r="N178" s="111"/>
    </row>
    <row r="179" spans="1:14" hidden="1" x14ac:dyDescent="0.35">
      <c r="A179" s="127"/>
      <c r="L179" s="104"/>
      <c r="M179" s="125"/>
      <c r="N179" s="111"/>
    </row>
    <row r="180" spans="1:14" hidden="1" x14ac:dyDescent="0.35">
      <c r="A180" s="127"/>
      <c r="B180" s="118"/>
      <c r="C180" s="117"/>
      <c r="E180" s="117"/>
      <c r="F180" s="117"/>
      <c r="G180" s="117"/>
      <c r="H180" s="117"/>
      <c r="I180" s="117"/>
      <c r="J180" s="117"/>
      <c r="K180" s="117"/>
      <c r="L180" s="117"/>
      <c r="M180" s="125"/>
      <c r="N180" s="111"/>
    </row>
    <row r="181" spans="1:14" hidden="1" x14ac:dyDescent="0.35">
      <c r="L181" s="104"/>
      <c r="M181" s="125"/>
      <c r="N181" s="111"/>
    </row>
    <row r="182" spans="1:14" hidden="1" x14ac:dyDescent="0.35">
      <c r="L182" s="104"/>
      <c r="M182" s="125"/>
      <c r="N182" s="111"/>
    </row>
    <row r="183" spans="1:14" hidden="1" x14ac:dyDescent="0.35">
      <c r="L183" s="104"/>
      <c r="M183" s="125"/>
      <c r="N183" s="111"/>
    </row>
    <row r="184" spans="1:14" hidden="1" x14ac:dyDescent="0.35">
      <c r="L184" s="104"/>
      <c r="M184" s="125"/>
      <c r="N184" s="111"/>
    </row>
    <row r="185" spans="1:14" hidden="1" x14ac:dyDescent="0.35">
      <c r="L185" s="104"/>
      <c r="M185" s="125"/>
      <c r="N185" s="111"/>
    </row>
    <row r="186" spans="1:14" hidden="1" x14ac:dyDescent="0.35"/>
    <row r="187" spans="1:14" hidden="1" x14ac:dyDescent="0.35"/>
    <row r="188" spans="1:14" hidden="1" x14ac:dyDescent="0.35"/>
    <row r="189" spans="1:14" hidden="1" x14ac:dyDescent="0.35"/>
    <row r="190" spans="1:14" hidden="1" x14ac:dyDescent="0.35">
      <c r="A190" s="112" t="s">
        <v>123</v>
      </c>
    </row>
    <row r="191" spans="1:14" hidden="1" x14ac:dyDescent="0.35"/>
    <row r="192" spans="1:14" hidden="1" x14ac:dyDescent="0.35">
      <c r="A192" s="328" t="s">
        <v>0</v>
      </c>
      <c r="B192" s="330" t="s">
        <v>1</v>
      </c>
      <c r="C192" s="331"/>
      <c r="D192" s="331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</row>
    <row r="193" spans="1:14" hidden="1" x14ac:dyDescent="0.35">
      <c r="A193" s="329"/>
      <c r="B193" s="166">
        <v>1</v>
      </c>
      <c r="C193" s="166">
        <v>2</v>
      </c>
      <c r="D193" s="166">
        <v>2.33</v>
      </c>
      <c r="E193" s="166">
        <v>5</v>
      </c>
      <c r="F193" s="166">
        <v>10</v>
      </c>
      <c r="G193" s="166">
        <v>20</v>
      </c>
      <c r="H193" s="166">
        <v>50</v>
      </c>
      <c r="I193" s="166">
        <v>100</v>
      </c>
      <c r="J193" s="166">
        <v>200</v>
      </c>
      <c r="K193" s="166">
        <v>500</v>
      </c>
      <c r="L193" s="166">
        <v>1000</v>
      </c>
      <c r="M193" s="192">
        <v>5000</v>
      </c>
      <c r="N193" s="192">
        <v>10000</v>
      </c>
    </row>
    <row r="194" spans="1:14" hidden="1" x14ac:dyDescent="0.35">
      <c r="A194" s="115" t="s">
        <v>8</v>
      </c>
      <c r="B194" s="123" t="e">
        <f>+INDEX(#REF!,'Regional flood frequency analys'!B198,)</f>
        <v>#REF!</v>
      </c>
      <c r="C194" s="123" t="e">
        <f>+INDEX(#REF!,'Regional flood frequency analys'!C198,)</f>
        <v>#REF!</v>
      </c>
      <c r="D194" s="123" t="e">
        <f>+INDEX(#REF!,'Regional flood frequency analys'!D198,)</f>
        <v>#REF!</v>
      </c>
      <c r="E194" s="123" t="e">
        <f>+INDEX(#REF!,'Regional flood frequency analys'!E198,)</f>
        <v>#REF!</v>
      </c>
      <c r="F194" s="123" t="e">
        <f>+INDEX(#REF!,'Regional flood frequency analys'!F198,)</f>
        <v>#REF!</v>
      </c>
      <c r="G194" s="123" t="e">
        <f>+INDEX(#REF!,'Regional flood frequency analys'!G198,)</f>
        <v>#REF!</v>
      </c>
      <c r="H194" s="123" t="e">
        <f>+INDEX(#REF!,'Regional flood frequency analys'!H198,)</f>
        <v>#REF!</v>
      </c>
      <c r="I194" s="123" t="e">
        <f>+INDEX(#REF!,'Regional flood frequency analys'!I198,)</f>
        <v>#REF!</v>
      </c>
      <c r="J194" s="123" t="e">
        <f>+INDEX(#REF!,'Regional flood frequency analys'!J198,)</f>
        <v>#REF!</v>
      </c>
      <c r="K194" s="123" t="e">
        <f>+INDEX(#REF!,'Regional flood frequency analys'!K198,)</f>
        <v>#REF!</v>
      </c>
      <c r="L194" s="123" t="e">
        <f>+INDEX(#REF!,'Regional flood frequency analys'!L198,)</f>
        <v>#REF!</v>
      </c>
      <c r="M194" s="123" t="e">
        <f>+INDEX(#REF!,'Regional flood frequency analys'!M198,)</f>
        <v>#REF!</v>
      </c>
      <c r="N194" s="123" t="e">
        <f>+INDEX(#REF!,'Regional flood frequency analys'!N198,)</f>
        <v>#REF!</v>
      </c>
    </row>
    <row r="195" spans="1:14" hidden="1" x14ac:dyDescent="0.35">
      <c r="A195" s="115" t="s">
        <v>9</v>
      </c>
      <c r="B195" s="123" t="e">
        <f>+INDEX(#REF!,'Regional flood frequency analys'!B198,)</f>
        <v>#REF!</v>
      </c>
      <c r="C195" s="123" t="e">
        <f>+INDEX(#REF!,'Regional flood frequency analys'!C198,)</f>
        <v>#REF!</v>
      </c>
      <c r="D195" s="123" t="e">
        <f>+INDEX(#REF!,'Regional flood frequency analys'!D198,)</f>
        <v>#REF!</v>
      </c>
      <c r="E195" s="123" t="e">
        <f>+INDEX(#REF!,'Regional flood frequency analys'!E198,)</f>
        <v>#REF!</v>
      </c>
      <c r="F195" s="123" t="e">
        <f>+INDEX(#REF!,'Regional flood frequency analys'!F198,)</f>
        <v>#REF!</v>
      </c>
      <c r="G195" s="123" t="e">
        <f>+INDEX(#REF!,'Regional flood frequency analys'!G198,)</f>
        <v>#REF!</v>
      </c>
      <c r="H195" s="123" t="e">
        <f>+INDEX(#REF!,'Regional flood frequency analys'!H198,)</f>
        <v>#REF!</v>
      </c>
      <c r="I195" s="123" t="e">
        <f>+INDEX(#REF!,'Regional flood frequency analys'!I198,)</f>
        <v>#REF!</v>
      </c>
      <c r="J195" s="123" t="e">
        <f>+INDEX(#REF!,'Regional flood frequency analys'!J198,)</f>
        <v>#REF!</v>
      </c>
      <c r="K195" s="123" t="e">
        <f>+INDEX(#REF!,'Regional flood frequency analys'!K198,)</f>
        <v>#REF!</v>
      </c>
      <c r="L195" s="123" t="e">
        <f>+INDEX(#REF!,'Regional flood frequency analys'!L198,)</f>
        <v>#REF!</v>
      </c>
      <c r="M195" s="123" t="e">
        <f>+INDEX(#REF!,'Regional flood frequency analys'!M198,)</f>
        <v>#REF!</v>
      </c>
      <c r="N195" s="123" t="e">
        <f>+INDEX(#REF!,'Regional flood frequency analys'!N198,)</f>
        <v>#REF!</v>
      </c>
    </row>
    <row r="196" spans="1:14" hidden="1" x14ac:dyDescent="0.35">
      <c r="A196" s="120" t="s">
        <v>7</v>
      </c>
      <c r="B196" s="124" t="s">
        <v>73</v>
      </c>
      <c r="C196" s="124" t="e">
        <f>+INDEX(#REF!,'Regional flood frequency analys'!C198,)</f>
        <v>#REF!</v>
      </c>
      <c r="D196" s="124" t="e">
        <f>+INDEX(#REF!,'Regional flood frequency analys'!D198,)</f>
        <v>#REF!</v>
      </c>
      <c r="E196" s="124" t="e">
        <f>+INDEX(#REF!,'Regional flood frequency analys'!E198,)</f>
        <v>#REF!</v>
      </c>
      <c r="F196" s="124" t="e">
        <f>+INDEX(#REF!,'Regional flood frequency analys'!F198,)</f>
        <v>#REF!</v>
      </c>
      <c r="G196" s="124" t="e">
        <f>+INDEX(#REF!,'Regional flood frequency analys'!G198,)</f>
        <v>#REF!</v>
      </c>
      <c r="H196" s="124" t="e">
        <f>+INDEX(#REF!,'Regional flood frequency analys'!H198,)</f>
        <v>#REF!</v>
      </c>
      <c r="I196" s="124" t="e">
        <f>+INDEX(#REF!,'Regional flood frequency analys'!I198,)</f>
        <v>#REF!</v>
      </c>
      <c r="J196" s="124" t="e">
        <f>+INDEX(#REF!,'Regional flood frequency analys'!J198,)</f>
        <v>#REF!</v>
      </c>
      <c r="K196" s="124" t="e">
        <f>+INDEX(#REF!,'Regional flood frequency analys'!K198,)</f>
        <v>#REF!</v>
      </c>
      <c r="L196" s="124" t="e">
        <f>+INDEX(#REF!,'Regional flood frequency analys'!L198,)</f>
        <v>#REF!</v>
      </c>
      <c r="M196" s="124" t="e">
        <f>+INDEX(#REF!,'Regional flood frequency analys'!M198,)</f>
        <v>#REF!</v>
      </c>
      <c r="N196" s="124" t="e">
        <f>+INDEX(#REF!,'Regional flood frequency analys'!N198,)</f>
        <v>#REF!</v>
      </c>
    </row>
    <row r="197" spans="1:14" hidden="1" x14ac:dyDescent="0.35"/>
    <row r="198" spans="1:14" hidden="1" x14ac:dyDescent="0.35">
      <c r="B198" s="118">
        <v>1</v>
      </c>
      <c r="C198" s="117">
        <v>2</v>
      </c>
      <c r="D198" s="117">
        <v>3</v>
      </c>
      <c r="E198" s="117">
        <v>4</v>
      </c>
      <c r="F198" s="117">
        <v>5</v>
      </c>
      <c r="G198" s="117">
        <v>6</v>
      </c>
      <c r="H198" s="117">
        <v>7</v>
      </c>
      <c r="I198" s="117">
        <v>8</v>
      </c>
      <c r="J198" s="117">
        <v>9</v>
      </c>
      <c r="K198" s="117">
        <v>10</v>
      </c>
      <c r="L198" s="117">
        <v>11</v>
      </c>
      <c r="M198" s="117">
        <v>12</v>
      </c>
      <c r="N198" s="117">
        <v>13</v>
      </c>
    </row>
    <row r="199" spans="1:14" hidden="1" x14ac:dyDescent="0.35"/>
    <row r="200" spans="1:14" hidden="1" x14ac:dyDescent="0.35"/>
    <row r="201" spans="1:14" hidden="1" x14ac:dyDescent="0.35"/>
    <row r="202" spans="1:14" hidden="1" x14ac:dyDescent="0.35"/>
    <row r="203" spans="1:14" hidden="1" x14ac:dyDescent="0.35"/>
    <row r="204" spans="1:14" hidden="1" x14ac:dyDescent="0.35"/>
    <row r="205" spans="1:14" hidden="1" x14ac:dyDescent="0.35"/>
    <row r="206" spans="1:14" hidden="1" x14ac:dyDescent="0.35"/>
    <row r="207" spans="1:14" hidden="1" x14ac:dyDescent="0.35">
      <c r="L207" s="104"/>
    </row>
    <row r="208" spans="1:14" hidden="1" x14ac:dyDescent="0.35"/>
    <row r="209" spans="1:14" hidden="1" x14ac:dyDescent="0.35"/>
    <row r="210" spans="1:14" hidden="1" x14ac:dyDescent="0.35">
      <c r="L210" s="104"/>
    </row>
    <row r="211" spans="1:14" hidden="1" x14ac:dyDescent="0.35">
      <c r="L211" s="104"/>
    </row>
    <row r="212" spans="1:14" hidden="1" x14ac:dyDescent="0.35">
      <c r="L212" s="104"/>
    </row>
    <row r="213" spans="1:14" hidden="1" x14ac:dyDescent="0.35">
      <c r="L213" s="104"/>
    </row>
    <row r="214" spans="1:14" hidden="1" x14ac:dyDescent="0.35">
      <c r="L214" s="104"/>
    </row>
    <row r="215" spans="1:14" hidden="1" x14ac:dyDescent="0.35">
      <c r="L215" s="104"/>
    </row>
    <row r="216" spans="1:14" hidden="1" x14ac:dyDescent="0.35">
      <c r="L216" s="104"/>
    </row>
    <row r="217" spans="1:14" hidden="1" x14ac:dyDescent="0.35">
      <c r="L217" s="104"/>
    </row>
    <row r="218" spans="1:14" hidden="1" x14ac:dyDescent="0.35">
      <c r="A218" s="112" t="s">
        <v>233</v>
      </c>
      <c r="L218" s="104"/>
    </row>
    <row r="219" spans="1:14" hidden="1" x14ac:dyDescent="0.35">
      <c r="L219" s="104"/>
    </row>
    <row r="220" spans="1:14" hidden="1" x14ac:dyDescent="0.35">
      <c r="A220" s="328" t="s">
        <v>0</v>
      </c>
      <c r="B220" s="330" t="s">
        <v>1</v>
      </c>
      <c r="C220" s="331"/>
      <c r="D220" s="331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</row>
    <row r="221" spans="1:14" hidden="1" x14ac:dyDescent="0.35">
      <c r="A221" s="329"/>
      <c r="B221" s="287">
        <v>1</v>
      </c>
      <c r="C221" s="287">
        <v>2</v>
      </c>
      <c r="D221" s="287">
        <v>2.33</v>
      </c>
      <c r="E221" s="287">
        <v>5</v>
      </c>
      <c r="F221" s="287">
        <v>10</v>
      </c>
      <c r="G221" s="287">
        <v>20</v>
      </c>
      <c r="H221" s="287">
        <v>50</v>
      </c>
      <c r="I221" s="287">
        <v>100</v>
      </c>
      <c r="J221" s="287">
        <v>200</v>
      </c>
      <c r="K221" s="287">
        <v>500</v>
      </c>
      <c r="L221" s="287">
        <v>1000</v>
      </c>
      <c r="M221" s="287">
        <v>5000</v>
      </c>
      <c r="N221" s="287">
        <v>10000</v>
      </c>
    </row>
    <row r="222" spans="1:14" hidden="1" x14ac:dyDescent="0.35">
      <c r="A222" s="115" t="s">
        <v>8</v>
      </c>
      <c r="B222" s="123" t="e">
        <f>+INDEX(#REF!,'Regional regression analysis'!B$229,)</f>
        <v>#REF!</v>
      </c>
      <c r="C222" s="123" t="e">
        <f>+INDEX(#REF!,'Regional regression analysis'!C$229,)</f>
        <v>#REF!</v>
      </c>
      <c r="D222" s="123" t="e">
        <f>+INDEX(#REF!,'Regional regression analysis'!D$229,)</f>
        <v>#REF!</v>
      </c>
      <c r="E222" s="123" t="e">
        <f>+INDEX(#REF!,'Regional regression analysis'!E$229,)</f>
        <v>#REF!</v>
      </c>
      <c r="F222" s="123" t="e">
        <f>+INDEX(#REF!,'Regional regression analysis'!F$229,)</f>
        <v>#REF!</v>
      </c>
      <c r="G222" s="123" t="e">
        <f>+INDEX(#REF!,'Regional regression analysis'!G$229,)</f>
        <v>#REF!</v>
      </c>
      <c r="H222" s="123" t="e">
        <f>+INDEX(#REF!,'Regional regression analysis'!H$229,)</f>
        <v>#REF!</v>
      </c>
      <c r="I222" s="123" t="e">
        <f>+INDEX(#REF!,'Regional regression analysis'!I$229,)</f>
        <v>#REF!</v>
      </c>
      <c r="J222" s="123" t="e">
        <f>+INDEX(#REF!,'Regional regression analysis'!J$229,)</f>
        <v>#REF!</v>
      </c>
      <c r="K222" s="123" t="e">
        <f>+INDEX(#REF!,'Regional regression analysis'!K$229,)</f>
        <v>#REF!</v>
      </c>
      <c r="L222" s="123" t="e">
        <f>+INDEX(#REF!,'Regional regression analysis'!L$229,)</f>
        <v>#REF!</v>
      </c>
      <c r="M222" s="123" t="e">
        <f>+INDEX(#REF!,'Regional regression analysis'!M$229,)</f>
        <v>#REF!</v>
      </c>
      <c r="N222" s="123" t="e">
        <f>+INDEX(#REF!,'Regional regression analysis'!N$229,)</f>
        <v>#REF!</v>
      </c>
    </row>
    <row r="223" spans="1:14" hidden="1" x14ac:dyDescent="0.35">
      <c r="A223" s="115" t="s">
        <v>9</v>
      </c>
      <c r="B223" s="123" t="e">
        <f>+INDEX(#REF!,'Regional regression analysis'!B$229,)</f>
        <v>#REF!</v>
      </c>
      <c r="C223" s="123" t="e">
        <f>+INDEX(#REF!,'Regional regression analysis'!C$229,)</f>
        <v>#REF!</v>
      </c>
      <c r="D223" s="123" t="e">
        <f>+INDEX(#REF!,'Regional regression analysis'!D$229,)</f>
        <v>#REF!</v>
      </c>
      <c r="E223" s="123" t="e">
        <f>+INDEX(#REF!,'Regional regression analysis'!E$229,)</f>
        <v>#REF!</v>
      </c>
      <c r="F223" s="123" t="e">
        <f>+INDEX(#REF!,'Regional regression analysis'!F$229,)</f>
        <v>#REF!</v>
      </c>
      <c r="G223" s="123" t="e">
        <f>+INDEX(#REF!,'Regional regression analysis'!G$229,)</f>
        <v>#REF!</v>
      </c>
      <c r="H223" s="123" t="e">
        <f>+INDEX(#REF!,'Regional regression analysis'!H$229,)</f>
        <v>#REF!</v>
      </c>
      <c r="I223" s="123" t="e">
        <f>+INDEX(#REF!,'Regional regression analysis'!I$229,)</f>
        <v>#REF!</v>
      </c>
      <c r="J223" s="123" t="e">
        <f>+INDEX(#REF!,'Regional regression analysis'!J$229,)</f>
        <v>#REF!</v>
      </c>
      <c r="K223" s="123" t="e">
        <f>+INDEX(#REF!,'Regional regression analysis'!K$229,)</f>
        <v>#REF!</v>
      </c>
      <c r="L223" s="123" t="e">
        <f>+INDEX(#REF!,'Regional regression analysis'!L$229,)</f>
        <v>#REF!</v>
      </c>
      <c r="M223" s="123" t="e">
        <f>+INDEX(#REF!,'Regional regression analysis'!M$229,)</f>
        <v>#REF!</v>
      </c>
      <c r="N223" s="123" t="e">
        <f>+INDEX(#REF!,'Regional regression analysis'!N$229,)</f>
        <v>#REF!</v>
      </c>
    </row>
    <row r="224" spans="1:14" hidden="1" x14ac:dyDescent="0.35">
      <c r="A224" s="120" t="s">
        <v>7</v>
      </c>
      <c r="B224" s="124" t="s">
        <v>73</v>
      </c>
      <c r="C224" s="124" t="e">
        <f>+INDEX(#REF!,'Regional regression analysis'!C$229,)</f>
        <v>#REF!</v>
      </c>
      <c r="D224" s="124" t="e">
        <f>+INDEX(#REF!,'Regional regression analysis'!D$229,)</f>
        <v>#REF!</v>
      </c>
      <c r="E224" s="124" t="e">
        <f>+INDEX(#REF!,'Regional regression analysis'!E$229,)</f>
        <v>#REF!</v>
      </c>
      <c r="F224" s="124" t="e">
        <f>+INDEX(#REF!,'Regional regression analysis'!F$229,)</f>
        <v>#REF!</v>
      </c>
      <c r="G224" s="124" t="e">
        <f>+INDEX(#REF!,'Regional regression analysis'!G$229,)</f>
        <v>#REF!</v>
      </c>
      <c r="H224" s="124" t="e">
        <f>+INDEX(#REF!,'Regional regression analysis'!H$229,)</f>
        <v>#REF!</v>
      </c>
      <c r="I224" s="124" t="e">
        <f>+INDEX(#REF!,'Regional regression analysis'!I$229,)</f>
        <v>#REF!</v>
      </c>
      <c r="J224" s="124" t="e">
        <f>+INDEX(#REF!,'Regional regression analysis'!J$229,)</f>
        <v>#REF!</v>
      </c>
      <c r="K224" s="124" t="e">
        <f>+INDEX(#REF!,'Regional regression analysis'!K$229,)</f>
        <v>#REF!</v>
      </c>
      <c r="L224" s="124" t="e">
        <f>+INDEX(#REF!,'Regional regression analysis'!L$229,)</f>
        <v>#REF!</v>
      </c>
      <c r="M224" s="124" t="e">
        <f>+INDEX(#REF!,'Regional regression analysis'!M$229,)</f>
        <v>#REF!</v>
      </c>
      <c r="N224" s="124" t="e">
        <f>+INDEX(#REF!,'Regional regression analysis'!N$229,)</f>
        <v>#REF!</v>
      </c>
    </row>
    <row r="225" spans="2:14" hidden="1" x14ac:dyDescent="0.35">
      <c r="L225" s="104"/>
    </row>
    <row r="226" spans="2:14" hidden="1" x14ac:dyDescent="0.35">
      <c r="B226" s="118">
        <v>1</v>
      </c>
      <c r="C226" s="117">
        <v>2</v>
      </c>
      <c r="D226" s="117">
        <v>3</v>
      </c>
      <c r="E226" s="117">
        <v>4</v>
      </c>
      <c r="F226" s="117">
        <v>5</v>
      </c>
      <c r="G226" s="117">
        <v>6</v>
      </c>
      <c r="H226" s="117">
        <v>7</v>
      </c>
      <c r="I226" s="117">
        <v>8</v>
      </c>
      <c r="J226" s="117">
        <v>9</v>
      </c>
      <c r="K226" s="117">
        <v>10</v>
      </c>
      <c r="L226" s="117">
        <v>11</v>
      </c>
      <c r="M226" s="117">
        <v>12</v>
      </c>
      <c r="N226" s="117">
        <v>13</v>
      </c>
    </row>
    <row r="227" spans="2:14" hidden="1" x14ac:dyDescent="0.35"/>
    <row r="228" spans="2:14" hidden="1" x14ac:dyDescent="0.35"/>
    <row r="229" spans="2:14" hidden="1" x14ac:dyDescent="0.35"/>
    <row r="230" spans="2:14" hidden="1" x14ac:dyDescent="0.35"/>
    <row r="231" spans="2:14" hidden="1" x14ac:dyDescent="0.35"/>
    <row r="232" spans="2:14" hidden="1" x14ac:dyDescent="0.35"/>
    <row r="233" spans="2:14" hidden="1" x14ac:dyDescent="0.35"/>
    <row r="234" spans="2:14" hidden="1" x14ac:dyDescent="0.35"/>
    <row r="235" spans="2:14" hidden="1" x14ac:dyDescent="0.35">
      <c r="L235" s="104"/>
    </row>
    <row r="236" spans="2:14" hidden="1" x14ac:dyDescent="0.35"/>
    <row r="237" spans="2:14" hidden="1" x14ac:dyDescent="0.35"/>
    <row r="238" spans="2:14" hidden="1" x14ac:dyDescent="0.35">
      <c r="L238" s="104"/>
    </row>
    <row r="239" spans="2:14" hidden="1" x14ac:dyDescent="0.35">
      <c r="L239" s="104"/>
    </row>
    <row r="240" spans="2:14" hidden="1" x14ac:dyDescent="0.35">
      <c r="L240" s="104"/>
    </row>
    <row r="241" spans="1:12" hidden="1" x14ac:dyDescent="0.35">
      <c r="L241" s="104"/>
    </row>
    <row r="242" spans="1:12" hidden="1" x14ac:dyDescent="0.35">
      <c r="L242" s="104"/>
    </row>
    <row r="243" spans="1:12" hidden="1" x14ac:dyDescent="0.35">
      <c r="L243" s="104"/>
    </row>
    <row r="244" spans="1:12" hidden="1" x14ac:dyDescent="0.35">
      <c r="L244" s="104"/>
    </row>
    <row r="245" spans="1:12" hidden="1" x14ac:dyDescent="0.35">
      <c r="L245" s="104"/>
    </row>
    <row r="246" spans="1:12" hidden="1" x14ac:dyDescent="0.35">
      <c r="L246" s="104"/>
    </row>
    <row r="247" spans="1:12" hidden="1" x14ac:dyDescent="0.35">
      <c r="L247" s="104"/>
    </row>
    <row r="248" spans="1:12" hidden="1" x14ac:dyDescent="0.35">
      <c r="L248" s="104"/>
    </row>
    <row r="249" spans="1:12" hidden="1" x14ac:dyDescent="0.35">
      <c r="L249" s="104"/>
    </row>
    <row r="250" spans="1:12" hidden="1" x14ac:dyDescent="0.35">
      <c r="L250" s="104"/>
    </row>
    <row r="251" spans="1:12" x14ac:dyDescent="0.35">
      <c r="A251" s="87" t="s">
        <v>107</v>
      </c>
      <c r="B251" s="126"/>
      <c r="C251" s="168"/>
      <c r="D251" s="168"/>
      <c r="E251" s="117"/>
      <c r="F251" s="117"/>
      <c r="G251" s="117"/>
      <c r="H251" s="117"/>
      <c r="I251" s="117"/>
      <c r="J251" s="117"/>
      <c r="K251" s="117"/>
      <c r="L251" s="117"/>
    </row>
    <row r="252" spans="1:12" ht="51.75" x14ac:dyDescent="0.35">
      <c r="A252" s="128" t="s">
        <v>91</v>
      </c>
      <c r="B252" s="129" t="s">
        <v>219</v>
      </c>
      <c r="C252" s="130" t="s">
        <v>92</v>
      </c>
      <c r="D252" s="130" t="s">
        <v>94</v>
      </c>
      <c r="E252" s="130" t="s">
        <v>95</v>
      </c>
      <c r="F252" s="130" t="s">
        <v>96</v>
      </c>
      <c r="G252" s="130" t="s">
        <v>93</v>
      </c>
      <c r="H252" s="130" t="s">
        <v>97</v>
      </c>
      <c r="I252" s="117"/>
      <c r="J252" s="117"/>
      <c r="K252" s="117"/>
      <c r="L252" s="117"/>
    </row>
    <row r="253" spans="1:12" x14ac:dyDescent="0.35">
      <c r="A253" s="131">
        <v>1</v>
      </c>
      <c r="B253" s="132" t="str">
        <f>'Station Details'!B2</f>
        <v>Isuwa at Intake</v>
      </c>
      <c r="C253" s="307" t="str">
        <f>'Station Details'!C2</f>
        <v>-</v>
      </c>
      <c r="D253" s="307">
        <f>'Station Details'!D2</f>
        <v>160.79</v>
      </c>
      <c r="E253" s="308">
        <f>'Station Details'!E2</f>
        <v>0.10019279805958081</v>
      </c>
      <c r="F253" s="308">
        <f>'Station Details'!F2</f>
        <v>0.6167672118912868</v>
      </c>
      <c r="G253" s="308">
        <f>'Station Details'!G2</f>
        <v>0.28303999004913238</v>
      </c>
      <c r="H253" s="134">
        <f>'Station Details'!H2</f>
        <v>115.28</v>
      </c>
      <c r="I253" s="117"/>
      <c r="L253" s="104"/>
    </row>
    <row r="254" spans="1:12" x14ac:dyDescent="0.35">
      <c r="A254" s="131">
        <v>2</v>
      </c>
      <c r="B254" s="132" t="str">
        <f>'Station Details'!B3</f>
        <v>Powerhouse river-1</v>
      </c>
      <c r="C254" s="307" t="str">
        <f>'Station Details'!C3</f>
        <v>-</v>
      </c>
      <c r="D254" s="307">
        <f>'Station Details'!D3</f>
        <v>27542.558891000001</v>
      </c>
      <c r="E254" s="308">
        <f>'Station Details'!E3</f>
        <v>2.5452972716673638E-2</v>
      </c>
      <c r="F254" s="308">
        <f>'Station Details'!F3</f>
        <v>0.58452339391241936</v>
      </c>
      <c r="G254" s="308">
        <f>'Station Details'!G3</f>
        <v>0.39003093512528636</v>
      </c>
      <c r="H254" s="134">
        <f>'Station Details'!H3</f>
        <v>16800.310000000001</v>
      </c>
      <c r="I254" s="117"/>
      <c r="J254" s="105"/>
      <c r="L254" s="105"/>
    </row>
    <row r="255" spans="1:12" x14ac:dyDescent="0.35">
      <c r="A255" s="131">
        <v>3</v>
      </c>
      <c r="B255" s="132" t="str">
        <f>'Station Details'!B4</f>
        <v>Powerhouse river-2</v>
      </c>
      <c r="C255" s="307" t="str">
        <f>'Station Details'!C4</f>
        <v>-</v>
      </c>
      <c r="D255" s="307">
        <f>'Station Details'!D4</f>
        <v>217.89184</v>
      </c>
      <c r="E255" s="308">
        <f>'Station Details'!E4</f>
        <v>0.3226830339309632</v>
      </c>
      <c r="F255" s="308">
        <f>'Station Details'!F4</f>
        <v>0.63981285393707266</v>
      </c>
      <c r="G255" s="308">
        <f>'Station Details'!G4</f>
        <v>3.7495667575252016E-2</v>
      </c>
      <c r="H255" s="134">
        <f>'Station Details'!H4</f>
        <v>209.73</v>
      </c>
      <c r="I255" s="117"/>
      <c r="J255" s="105"/>
      <c r="L255" s="105"/>
    </row>
    <row r="256" spans="1:12" x14ac:dyDescent="0.35">
      <c r="A256" s="131">
        <v>4</v>
      </c>
      <c r="B256" s="132" t="str">
        <f>'Station Details'!B5</f>
        <v>Uwa Gaon</v>
      </c>
      <c r="C256" s="307">
        <f>'Station Details'!C5</f>
        <v>600.1</v>
      </c>
      <c r="D256" s="307">
        <f>'Station Details'!D5</f>
        <v>27090.762891999999</v>
      </c>
      <c r="E256" s="308">
        <f>'Station Details'!E5</f>
        <v>1.6184483314402191E-2</v>
      </c>
      <c r="F256" s="308">
        <f>'Station Details'!F5</f>
        <v>0.58904764194412484</v>
      </c>
      <c r="G256" s="308">
        <f>'Station Details'!G5</f>
        <v>0.39476776798921903</v>
      </c>
      <c r="H256" s="134">
        <f>'Station Details'!H5</f>
        <v>16396.2</v>
      </c>
      <c r="J256" s="146"/>
      <c r="L256" s="105"/>
    </row>
    <row r="257" spans="1:26" x14ac:dyDescent="0.35">
      <c r="A257" s="131">
        <v>5</v>
      </c>
      <c r="B257" s="132" t="str">
        <f>'Station Details'!B6</f>
        <v>Sabhaya</v>
      </c>
      <c r="C257" s="307">
        <f>'Station Details'!C6</f>
        <v>602</v>
      </c>
      <c r="D257" s="307">
        <f>'Station Details'!D6</f>
        <v>391.36</v>
      </c>
      <c r="E257" s="308">
        <f>'Station Details'!E6</f>
        <v>0.92280764513491409</v>
      </c>
      <c r="F257" s="308">
        <f>'Station Details'!F6</f>
        <v>7.7166802943581358E-2</v>
      </c>
      <c r="G257" s="308">
        <f>'Station Details'!G6</f>
        <v>0</v>
      </c>
      <c r="H257" s="134">
        <f>'Station Details'!H6</f>
        <v>391.36</v>
      </c>
      <c r="J257" s="105"/>
      <c r="L257" s="105"/>
    </row>
    <row r="258" spans="1:26" x14ac:dyDescent="0.35">
      <c r="A258" s="131">
        <v>6</v>
      </c>
      <c r="B258" s="132" t="str">
        <f>'Station Details'!B7</f>
        <v>Hinwa</v>
      </c>
      <c r="C258" s="307">
        <f>'Station Details'!C7</f>
        <v>602.5</v>
      </c>
      <c r="D258" s="307">
        <f>'Station Details'!D7</f>
        <v>148.13999999999999</v>
      </c>
      <c r="E258" s="308">
        <f>'Station Details'!E7</f>
        <v>0.96030781692993117</v>
      </c>
      <c r="F258" s="308">
        <f>'Station Details'!F7</f>
        <v>3.9692183070068859E-2</v>
      </c>
      <c r="G258" s="308">
        <f>'Station Details'!G7</f>
        <v>0</v>
      </c>
      <c r="H258" s="134">
        <f>'Station Details'!H7</f>
        <v>148.13999999999999</v>
      </c>
      <c r="J258" s="105"/>
      <c r="L258" s="105"/>
    </row>
    <row r="259" spans="1:26" x14ac:dyDescent="0.35">
      <c r="A259" s="131">
        <v>7</v>
      </c>
      <c r="B259" s="132" t="str">
        <f>'Station Details'!B8</f>
        <v>Turkeghat</v>
      </c>
      <c r="C259" s="307">
        <f>'Station Details'!C8</f>
        <v>604.5</v>
      </c>
      <c r="D259" s="307">
        <f>'Station Details'!D8</f>
        <v>28601.893849</v>
      </c>
      <c r="E259" s="308">
        <f>'Station Details'!E8</f>
        <v>5.1300798742433651E-2</v>
      </c>
      <c r="F259" s="308">
        <f>'Station Details'!F8</f>
        <v>0.57277326062703271</v>
      </c>
      <c r="G259" s="308">
        <f>'Station Details'!G8</f>
        <v>0.37592615568622312</v>
      </c>
      <c r="H259" s="134">
        <f>'Station Details'!H8</f>
        <v>17849.7</v>
      </c>
      <c r="I259" s="111"/>
      <c r="J259" s="194"/>
      <c r="K259" s="111"/>
      <c r="L259" s="105"/>
      <c r="M259" s="111"/>
      <c r="N259" s="105"/>
      <c r="O259" s="136"/>
      <c r="Z259" s="137"/>
    </row>
    <row r="260" spans="1:26" x14ac:dyDescent="0.35">
      <c r="N260" s="105"/>
      <c r="O260" s="136"/>
      <c r="Z260" s="137"/>
    </row>
    <row r="261" spans="1:26" x14ac:dyDescent="0.35">
      <c r="A261" s="167" t="s">
        <v>260</v>
      </c>
      <c r="B261" s="87"/>
      <c r="C261" s="87"/>
      <c r="D261" s="87"/>
      <c r="E261" s="87"/>
      <c r="F261" s="87"/>
      <c r="N261" s="105"/>
      <c r="O261" s="136"/>
      <c r="Z261" s="137"/>
    </row>
    <row r="262" spans="1:26" x14ac:dyDescent="0.35">
      <c r="A262" s="139"/>
      <c r="B262" s="139"/>
      <c r="C262" s="139"/>
      <c r="D262" s="139"/>
      <c r="E262" s="140"/>
      <c r="F262" s="140"/>
      <c r="G262" s="140"/>
      <c r="H262" s="140"/>
      <c r="I262" s="140"/>
      <c r="J262" s="140"/>
      <c r="K262" s="140"/>
      <c r="L262" s="141"/>
      <c r="M262" s="141"/>
      <c r="N262" s="141"/>
      <c r="O262" s="136"/>
      <c r="Z262" s="137"/>
    </row>
    <row r="263" spans="1:26" ht="18.75" x14ac:dyDescent="0.35">
      <c r="A263" s="133" t="s">
        <v>59</v>
      </c>
      <c r="B263" s="340" t="s">
        <v>99</v>
      </c>
      <c r="C263" s="341"/>
      <c r="D263" s="342"/>
      <c r="E263" s="326" t="s">
        <v>2</v>
      </c>
      <c r="F263" s="326" t="s">
        <v>98</v>
      </c>
      <c r="G263" s="326" t="s">
        <v>36</v>
      </c>
      <c r="H263" s="326" t="s">
        <v>3</v>
      </c>
      <c r="I263" s="326" t="s">
        <v>37</v>
      </c>
      <c r="J263" s="326" t="s">
        <v>38</v>
      </c>
      <c r="K263" s="326" t="s">
        <v>4</v>
      </c>
      <c r="L263" s="326" t="s">
        <v>39</v>
      </c>
      <c r="M263" s="326" t="s">
        <v>5</v>
      </c>
      <c r="N263" s="326" t="s">
        <v>6</v>
      </c>
      <c r="O263" s="326" t="s">
        <v>226</v>
      </c>
      <c r="P263" s="326" t="s">
        <v>227</v>
      </c>
      <c r="Z263" s="137"/>
    </row>
    <row r="264" spans="1:26" x14ac:dyDescent="0.35">
      <c r="A264" s="133"/>
      <c r="B264" s="135" t="s">
        <v>60</v>
      </c>
      <c r="C264" s="135" t="s">
        <v>62</v>
      </c>
      <c r="D264" s="135" t="s">
        <v>61</v>
      </c>
      <c r="E264" s="339"/>
      <c r="F264" s="327"/>
      <c r="G264" s="327"/>
      <c r="H264" s="327"/>
      <c r="I264" s="327"/>
      <c r="J264" s="327"/>
      <c r="K264" s="327"/>
      <c r="L264" s="327"/>
      <c r="M264" s="327"/>
      <c r="N264" s="327"/>
      <c r="O264" s="327"/>
      <c r="P264" s="327"/>
      <c r="Z264" s="137"/>
    </row>
    <row r="265" spans="1:26" x14ac:dyDescent="0.35">
      <c r="A265" s="135" t="str">
        <f>B256</f>
        <v>Uwa Gaon</v>
      </c>
      <c r="B265" s="142">
        <f>D256</f>
        <v>27090.762891999999</v>
      </c>
      <c r="C265" s="142">
        <f>'Station Details'!H5</f>
        <v>16396.2</v>
      </c>
      <c r="D265" s="142">
        <f>B265-C265</f>
        <v>10694.562891999998</v>
      </c>
      <c r="E265" s="142">
        <f>C128</f>
        <v>1333.6379986843704</v>
      </c>
      <c r="F265" s="142">
        <f t="shared" ref="F265:P265" si="1">D128</f>
        <v>1373.2970216638953</v>
      </c>
      <c r="G265" s="142">
        <f t="shared" si="1"/>
        <v>1545.5938004055492</v>
      </c>
      <c r="H265" s="142">
        <f t="shared" si="1"/>
        <v>1685.92698402782</v>
      </c>
      <c r="I265" s="142">
        <f t="shared" si="1"/>
        <v>1820.5379429543755</v>
      </c>
      <c r="J265" s="142">
        <f t="shared" si="1"/>
        <v>1994.778021671088</v>
      </c>
      <c r="K265" s="142">
        <f t="shared" si="1"/>
        <v>2125.3464413823722</v>
      </c>
      <c r="L265" s="142">
        <f t="shared" si="1"/>
        <v>2255.4384388626427</v>
      </c>
      <c r="M265" s="142">
        <f t="shared" si="1"/>
        <v>2427.0701270491995</v>
      </c>
      <c r="N265" s="142">
        <f t="shared" si="1"/>
        <v>2556.7852903027942</v>
      </c>
      <c r="O265" s="142">
        <f t="shared" si="1"/>
        <v>2857.8320342625011</v>
      </c>
      <c r="P265" s="142">
        <f t="shared" si="1"/>
        <v>2987.462929682134</v>
      </c>
    </row>
    <row r="266" spans="1:26" x14ac:dyDescent="0.35">
      <c r="A266" s="135" t="str">
        <f t="shared" ref="A266:A268" si="2">B257</f>
        <v>Sabhaya</v>
      </c>
      <c r="B266" s="142">
        <f t="shared" ref="B266:B268" si="3">D257</f>
        <v>391.36</v>
      </c>
      <c r="C266" s="142">
        <f>'Station Details'!H6</f>
        <v>391.36</v>
      </c>
      <c r="D266" s="142">
        <f t="shared" ref="D266:D268" si="4">B266-C266</f>
        <v>0</v>
      </c>
      <c r="E266" s="142" t="e">
        <f>C56</f>
        <v>#NUM!</v>
      </c>
      <c r="F266" s="142" t="e">
        <f t="shared" ref="F266:P266" si="5">D56</f>
        <v>#NUM!</v>
      </c>
      <c r="G266" s="142" t="e">
        <f t="shared" si="5"/>
        <v>#NUM!</v>
      </c>
      <c r="H266" s="142" t="e">
        <f t="shared" si="5"/>
        <v>#NUM!</v>
      </c>
      <c r="I266" s="142" t="e">
        <f t="shared" si="5"/>
        <v>#NUM!</v>
      </c>
      <c r="J266" s="142" t="e">
        <f t="shared" si="5"/>
        <v>#NUM!</v>
      </c>
      <c r="K266" s="142" t="e">
        <f t="shared" si="5"/>
        <v>#NUM!</v>
      </c>
      <c r="L266" s="142" t="e">
        <f t="shared" si="5"/>
        <v>#NUM!</v>
      </c>
      <c r="M266" s="142" t="e">
        <f t="shared" si="5"/>
        <v>#NUM!</v>
      </c>
      <c r="N266" s="142" t="e">
        <f t="shared" si="5"/>
        <v>#NUM!</v>
      </c>
      <c r="O266" s="142" t="e">
        <f t="shared" si="5"/>
        <v>#NUM!</v>
      </c>
      <c r="P266" s="142" t="e">
        <f t="shared" si="5"/>
        <v>#NUM!</v>
      </c>
    </row>
    <row r="267" spans="1:26" x14ac:dyDescent="0.35">
      <c r="A267" s="135" t="str">
        <f t="shared" si="2"/>
        <v>Hinwa</v>
      </c>
      <c r="B267" s="142">
        <f t="shared" si="3"/>
        <v>148.13999999999999</v>
      </c>
      <c r="C267" s="142">
        <f>'Station Details'!H7</f>
        <v>148.13999999999999</v>
      </c>
      <c r="D267" s="142">
        <f t="shared" si="4"/>
        <v>0</v>
      </c>
      <c r="E267" s="142">
        <f>C82</f>
        <v>42.938933036017502</v>
      </c>
      <c r="F267" s="142">
        <f t="shared" ref="F267:P267" si="6">D82</f>
        <v>45.59637317870736</v>
      </c>
      <c r="G267" s="142">
        <f t="shared" si="6"/>
        <v>57.141498143601538</v>
      </c>
      <c r="H267" s="142">
        <f t="shared" si="6"/>
        <v>66.544832050788926</v>
      </c>
      <c r="I267" s="142">
        <f t="shared" si="6"/>
        <v>75.564735694963105</v>
      </c>
      <c r="J267" s="142">
        <f t="shared" si="6"/>
        <v>87.240075752792762</v>
      </c>
      <c r="K267" s="142">
        <f t="shared" si="6"/>
        <v>95.98910015733955</v>
      </c>
      <c r="L267" s="142">
        <f t="shared" si="6"/>
        <v>104.70620084147045</v>
      </c>
      <c r="M267" s="142">
        <f t="shared" si="6"/>
        <v>116.20675994954684</v>
      </c>
      <c r="N267" s="142">
        <f t="shared" si="6"/>
        <v>124.89861002673202</v>
      </c>
      <c r="O267" s="142">
        <f t="shared" si="6"/>
        <v>145.07090984959029</v>
      </c>
      <c r="P267" s="142">
        <f t="shared" si="6"/>
        <v>153.75711337504814</v>
      </c>
    </row>
    <row r="268" spans="1:26" x14ac:dyDescent="0.35">
      <c r="A268" s="135" t="str">
        <f t="shared" si="2"/>
        <v>Turkeghat</v>
      </c>
      <c r="B268" s="142">
        <f t="shared" si="3"/>
        <v>28601.893849</v>
      </c>
      <c r="C268" s="142">
        <f>'Station Details'!H8</f>
        <v>17849.7</v>
      </c>
      <c r="D268" s="142">
        <f t="shared" si="4"/>
        <v>10752.193848999999</v>
      </c>
      <c r="E268" s="142">
        <f>C104</f>
        <v>2798.584155022234</v>
      </c>
      <c r="F268" s="142">
        <f t="shared" ref="F268:P268" si="7">D104</f>
        <v>2964.5585453983908</v>
      </c>
      <c r="G268" s="142">
        <f t="shared" si="7"/>
        <v>3707.1927614848119</v>
      </c>
      <c r="H268" s="142">
        <f t="shared" si="7"/>
        <v>4334.4680606506599</v>
      </c>
      <c r="I268" s="142">
        <f t="shared" si="7"/>
        <v>4955.7672728051257</v>
      </c>
      <c r="J268" s="142">
        <f t="shared" si="7"/>
        <v>5793.0706203962409</v>
      </c>
      <c r="K268" s="142">
        <f t="shared" si="7"/>
        <v>6449.0721459088163</v>
      </c>
      <c r="L268" s="142">
        <f t="shared" si="7"/>
        <v>7130.5653035371224</v>
      </c>
      <c r="M268" s="142">
        <f t="shared" si="7"/>
        <v>8077.4973906914993</v>
      </c>
      <c r="N268" s="142">
        <f t="shared" si="7"/>
        <v>8833.080041107647</v>
      </c>
      <c r="O268" s="142">
        <f t="shared" si="7"/>
        <v>10736.078061451466</v>
      </c>
      <c r="P268" s="142">
        <f t="shared" si="7"/>
        <v>11626.531655402445</v>
      </c>
      <c r="R268" s="143"/>
      <c r="S268" s="143"/>
      <c r="T268" s="143"/>
      <c r="U268" s="143"/>
      <c r="V268" s="143"/>
      <c r="X268" s="143"/>
      <c r="Y268" s="143"/>
    </row>
    <row r="270" spans="1:26" x14ac:dyDescent="0.35">
      <c r="A270" s="87" t="s">
        <v>108</v>
      </c>
    </row>
    <row r="271" spans="1:26" x14ac:dyDescent="0.35">
      <c r="D271" s="346" t="s">
        <v>109</v>
      </c>
      <c r="E271" s="347"/>
      <c r="F271" s="347"/>
      <c r="G271" s="347"/>
      <c r="H271" s="347"/>
      <c r="I271" s="347"/>
      <c r="J271" s="347"/>
      <c r="K271" s="347"/>
      <c r="L271" s="347"/>
      <c r="M271" s="347"/>
      <c r="N271" s="347"/>
      <c r="O271" s="347"/>
    </row>
    <row r="272" spans="1:26" ht="21.75" x14ac:dyDescent="0.35">
      <c r="A272" s="333" t="s">
        <v>59</v>
      </c>
      <c r="B272" s="276" t="s">
        <v>128</v>
      </c>
      <c r="C272" s="276"/>
      <c r="D272" s="155" t="s">
        <v>112</v>
      </c>
      <c r="E272" s="155" t="s">
        <v>121</v>
      </c>
      <c r="F272" s="155" t="s">
        <v>113</v>
      </c>
      <c r="G272" s="155" t="s">
        <v>114</v>
      </c>
      <c r="H272" s="155" t="s">
        <v>115</v>
      </c>
      <c r="I272" s="155" t="s">
        <v>116</v>
      </c>
      <c r="J272" s="155" t="s">
        <v>117</v>
      </c>
      <c r="K272" s="155" t="s">
        <v>118</v>
      </c>
      <c r="L272" s="155" t="s">
        <v>119</v>
      </c>
      <c r="M272" s="155" t="s">
        <v>120</v>
      </c>
      <c r="N272" s="280" t="s">
        <v>224</v>
      </c>
      <c r="O272" s="280" t="s">
        <v>225</v>
      </c>
    </row>
    <row r="273" spans="1:15" ht="33.75" customHeight="1" x14ac:dyDescent="0.35">
      <c r="A273" s="333"/>
      <c r="B273" s="128" t="s">
        <v>60</v>
      </c>
      <c r="C273" s="181" t="s">
        <v>126</v>
      </c>
      <c r="D273" s="153">
        <v>2</v>
      </c>
      <c r="E273" s="153">
        <v>2.33</v>
      </c>
      <c r="F273" s="153">
        <v>5</v>
      </c>
      <c r="G273" s="153">
        <v>10</v>
      </c>
      <c r="H273" s="153">
        <v>20</v>
      </c>
      <c r="I273" s="153">
        <v>50</v>
      </c>
      <c r="J273" s="153">
        <v>100</v>
      </c>
      <c r="K273" s="153">
        <v>200</v>
      </c>
      <c r="L273" s="153">
        <v>500</v>
      </c>
      <c r="M273" s="153">
        <v>1000</v>
      </c>
      <c r="N273" s="153">
        <v>5000</v>
      </c>
      <c r="O273" s="153">
        <v>10000</v>
      </c>
    </row>
    <row r="274" spans="1:15" x14ac:dyDescent="0.35">
      <c r="A274" s="135" t="str">
        <f t="shared" ref="A274:B277" si="8">+A265</f>
        <v>Uwa Gaon</v>
      </c>
      <c r="B274" s="142">
        <f t="shared" si="8"/>
        <v>27090.762891999999</v>
      </c>
      <c r="C274" s="142">
        <f>C265</f>
        <v>16396.2</v>
      </c>
      <c r="D274" s="174">
        <f t="shared" ref="D274:O274" si="9">+E265</f>
        <v>1333.6379986843704</v>
      </c>
      <c r="E274" s="174">
        <f t="shared" si="9"/>
        <v>1373.2970216638953</v>
      </c>
      <c r="F274" s="174">
        <f t="shared" si="9"/>
        <v>1545.5938004055492</v>
      </c>
      <c r="G274" s="174">
        <f t="shared" si="9"/>
        <v>1685.92698402782</v>
      </c>
      <c r="H274" s="174">
        <f t="shared" si="9"/>
        <v>1820.5379429543755</v>
      </c>
      <c r="I274" s="174">
        <f t="shared" si="9"/>
        <v>1994.778021671088</v>
      </c>
      <c r="J274" s="174">
        <f t="shared" si="9"/>
        <v>2125.3464413823722</v>
      </c>
      <c r="K274" s="174">
        <f t="shared" si="9"/>
        <v>2255.4384388626427</v>
      </c>
      <c r="L274" s="174">
        <f t="shared" si="9"/>
        <v>2427.0701270491995</v>
      </c>
      <c r="M274" s="174">
        <f t="shared" si="9"/>
        <v>2556.7852903027942</v>
      </c>
      <c r="N274" s="174">
        <f t="shared" si="9"/>
        <v>2857.8320342625011</v>
      </c>
      <c r="O274" s="174">
        <f t="shared" si="9"/>
        <v>2987.462929682134</v>
      </c>
    </row>
    <row r="275" spans="1:15" x14ac:dyDescent="0.35">
      <c r="A275" s="135" t="str">
        <f t="shared" si="8"/>
        <v>Sabhaya</v>
      </c>
      <c r="B275" s="142">
        <f t="shared" si="8"/>
        <v>391.36</v>
      </c>
      <c r="C275" s="142">
        <f t="shared" ref="C275:C277" si="10">C266</f>
        <v>391.36</v>
      </c>
      <c r="D275" s="174" t="e">
        <f t="shared" ref="D275:O275" si="11">+E266</f>
        <v>#NUM!</v>
      </c>
      <c r="E275" s="174" t="e">
        <f t="shared" si="11"/>
        <v>#NUM!</v>
      </c>
      <c r="F275" s="174" t="e">
        <f t="shared" si="11"/>
        <v>#NUM!</v>
      </c>
      <c r="G275" s="174" t="e">
        <f t="shared" si="11"/>
        <v>#NUM!</v>
      </c>
      <c r="H275" s="174" t="e">
        <f t="shared" si="11"/>
        <v>#NUM!</v>
      </c>
      <c r="I275" s="174" t="e">
        <f t="shared" si="11"/>
        <v>#NUM!</v>
      </c>
      <c r="J275" s="174" t="e">
        <f t="shared" si="11"/>
        <v>#NUM!</v>
      </c>
      <c r="K275" s="174" t="e">
        <f t="shared" si="11"/>
        <v>#NUM!</v>
      </c>
      <c r="L275" s="174" t="e">
        <f t="shared" si="11"/>
        <v>#NUM!</v>
      </c>
      <c r="M275" s="174" t="e">
        <f t="shared" si="11"/>
        <v>#NUM!</v>
      </c>
      <c r="N275" s="174" t="e">
        <f t="shared" si="11"/>
        <v>#NUM!</v>
      </c>
      <c r="O275" s="174" t="e">
        <f t="shared" si="11"/>
        <v>#NUM!</v>
      </c>
    </row>
    <row r="276" spans="1:15" x14ac:dyDescent="0.35">
      <c r="A276" s="135" t="str">
        <f t="shared" si="8"/>
        <v>Hinwa</v>
      </c>
      <c r="B276" s="142">
        <f t="shared" si="8"/>
        <v>148.13999999999999</v>
      </c>
      <c r="C276" s="142">
        <f t="shared" si="10"/>
        <v>148.13999999999999</v>
      </c>
      <c r="D276" s="174">
        <f t="shared" ref="D276:O276" si="12">+E267</f>
        <v>42.938933036017502</v>
      </c>
      <c r="E276" s="174">
        <f t="shared" si="12"/>
        <v>45.59637317870736</v>
      </c>
      <c r="F276" s="174">
        <f t="shared" si="12"/>
        <v>57.141498143601538</v>
      </c>
      <c r="G276" s="174">
        <f t="shared" si="12"/>
        <v>66.544832050788926</v>
      </c>
      <c r="H276" s="174">
        <f t="shared" si="12"/>
        <v>75.564735694963105</v>
      </c>
      <c r="I276" s="174">
        <f t="shared" si="12"/>
        <v>87.240075752792762</v>
      </c>
      <c r="J276" s="174">
        <f t="shared" si="12"/>
        <v>95.98910015733955</v>
      </c>
      <c r="K276" s="174">
        <f t="shared" si="12"/>
        <v>104.70620084147045</v>
      </c>
      <c r="L276" s="174">
        <f t="shared" si="12"/>
        <v>116.20675994954684</v>
      </c>
      <c r="M276" s="174">
        <f t="shared" si="12"/>
        <v>124.89861002673202</v>
      </c>
      <c r="N276" s="174">
        <f t="shared" si="12"/>
        <v>145.07090984959029</v>
      </c>
      <c r="O276" s="174">
        <f t="shared" si="12"/>
        <v>153.75711337504814</v>
      </c>
    </row>
    <row r="277" spans="1:15" x14ac:dyDescent="0.35">
      <c r="A277" s="135" t="str">
        <f t="shared" si="8"/>
        <v>Turkeghat</v>
      </c>
      <c r="B277" s="142">
        <f t="shared" si="8"/>
        <v>28601.893849</v>
      </c>
      <c r="C277" s="142">
        <f t="shared" si="10"/>
        <v>17849.7</v>
      </c>
      <c r="D277" s="174">
        <f t="shared" ref="D277:O277" si="13">+E268</f>
        <v>2798.584155022234</v>
      </c>
      <c r="E277" s="174">
        <f t="shared" si="13"/>
        <v>2964.5585453983908</v>
      </c>
      <c r="F277" s="174">
        <f t="shared" si="13"/>
        <v>3707.1927614848119</v>
      </c>
      <c r="G277" s="174">
        <f t="shared" si="13"/>
        <v>4334.4680606506599</v>
      </c>
      <c r="H277" s="174">
        <f t="shared" si="13"/>
        <v>4955.7672728051257</v>
      </c>
      <c r="I277" s="174">
        <f t="shared" si="13"/>
        <v>5793.0706203962409</v>
      </c>
      <c r="J277" s="174">
        <f t="shared" si="13"/>
        <v>6449.0721459088163</v>
      </c>
      <c r="K277" s="174">
        <f t="shared" si="13"/>
        <v>7130.5653035371224</v>
      </c>
      <c r="L277" s="174">
        <f t="shared" si="13"/>
        <v>8077.4973906914993</v>
      </c>
      <c r="M277" s="174">
        <f t="shared" si="13"/>
        <v>8833.080041107647</v>
      </c>
      <c r="N277" s="174">
        <f t="shared" si="13"/>
        <v>10736.078061451466</v>
      </c>
      <c r="O277" s="174">
        <f t="shared" si="13"/>
        <v>11626.531655402445</v>
      </c>
    </row>
    <row r="278" spans="1:15" x14ac:dyDescent="0.35">
      <c r="A278" s="143"/>
      <c r="B278" s="149"/>
      <c r="C278" s="149"/>
      <c r="D278" s="212"/>
      <c r="E278" s="212"/>
      <c r="F278" s="212"/>
      <c r="G278" s="212"/>
      <c r="H278" s="212"/>
      <c r="I278" s="212"/>
      <c r="J278" s="212"/>
      <c r="K278" s="212"/>
      <c r="L278" s="212"/>
      <c r="M278" s="212"/>
      <c r="N278" s="212"/>
      <c r="O278" s="212"/>
    </row>
    <row r="279" spans="1:15" ht="18.75" x14ac:dyDescent="0.4">
      <c r="A279" s="139"/>
      <c r="B279" s="139"/>
      <c r="C279" s="139"/>
      <c r="D279" s="348" t="s">
        <v>104</v>
      </c>
      <c r="E279" s="348"/>
      <c r="F279" s="348"/>
      <c r="G279" s="348"/>
      <c r="H279" s="348"/>
      <c r="I279" s="348"/>
      <c r="J279" s="348"/>
      <c r="K279" s="348"/>
      <c r="L279" s="348"/>
      <c r="M279" s="348"/>
      <c r="N279" s="348"/>
    </row>
    <row r="280" spans="1:15" ht="21.75" x14ac:dyDescent="0.35">
      <c r="A280" s="334" t="s">
        <v>59</v>
      </c>
      <c r="B280" s="274" t="s">
        <v>128</v>
      </c>
      <c r="C280" s="275"/>
      <c r="D280" s="155" t="s">
        <v>112</v>
      </c>
      <c r="E280" s="155" t="s">
        <v>113</v>
      </c>
      <c r="F280" s="155" t="s">
        <v>114</v>
      </c>
      <c r="G280" s="155" t="s">
        <v>115</v>
      </c>
      <c r="H280" s="155" t="s">
        <v>116</v>
      </c>
      <c r="I280" s="155" t="s">
        <v>117</v>
      </c>
      <c r="J280" s="155" t="s">
        <v>118</v>
      </c>
      <c r="K280" s="155" t="s">
        <v>119</v>
      </c>
      <c r="L280" s="155" t="s">
        <v>120</v>
      </c>
      <c r="M280" s="280" t="s">
        <v>224</v>
      </c>
      <c r="N280" s="280" t="s">
        <v>225</v>
      </c>
    </row>
    <row r="281" spans="1:15" ht="31.5" customHeight="1" x14ac:dyDescent="0.35">
      <c r="A281" s="335"/>
      <c r="B281" s="130" t="s">
        <v>60</v>
      </c>
      <c r="C281" s="181" t="s">
        <v>126</v>
      </c>
      <c r="D281" s="155">
        <v>2</v>
      </c>
      <c r="E281" s="155">
        <v>5</v>
      </c>
      <c r="F281" s="155">
        <v>10</v>
      </c>
      <c r="G281" s="155">
        <v>20</v>
      </c>
      <c r="H281" s="155">
        <v>50</v>
      </c>
      <c r="I281" s="155">
        <v>100</v>
      </c>
      <c r="J281" s="155">
        <v>200</v>
      </c>
      <c r="K281" s="155">
        <v>500</v>
      </c>
      <c r="L281" s="155">
        <v>1000</v>
      </c>
      <c r="M281" s="153">
        <v>5000</v>
      </c>
      <c r="N281" s="153">
        <v>10000</v>
      </c>
    </row>
    <row r="282" spans="1:15" x14ac:dyDescent="0.35">
      <c r="A282" s="135" t="str">
        <f t="shared" ref="A282:C285" si="14">+A274</f>
        <v>Uwa Gaon</v>
      </c>
      <c r="B282" s="144">
        <f t="shared" si="14"/>
        <v>27090.762891999999</v>
      </c>
      <c r="C282" s="144">
        <f t="shared" si="14"/>
        <v>16396.2</v>
      </c>
      <c r="D282" s="144">
        <f>+D274/E274</f>
        <v>0.97112130707785715</v>
      </c>
      <c r="E282" s="144">
        <f>+F274/E274</f>
        <v>1.1254621367582216</v>
      </c>
      <c r="F282" s="144">
        <f>+G274/E274</f>
        <v>1.2276491956453386</v>
      </c>
      <c r="G282" s="144">
        <f>+H274/E274</f>
        <v>1.3256694758928409</v>
      </c>
      <c r="H282" s="144">
        <f>+I274/E274</f>
        <v>1.4525466743197348</v>
      </c>
      <c r="I282" s="144">
        <f>+J274/E274</f>
        <v>1.5476232802189356</v>
      </c>
      <c r="J282" s="144">
        <f>+K274/E274</f>
        <v>1.6423529675539086</v>
      </c>
      <c r="K282" s="144">
        <f>+L274/E274</f>
        <v>1.7673308022677761</v>
      </c>
      <c r="L282" s="144">
        <f>+M274/E274</f>
        <v>1.861786088493061</v>
      </c>
      <c r="M282" s="144">
        <f>+N274/E274</f>
        <v>2.0810006787897448</v>
      </c>
      <c r="N282" s="144">
        <f>+O274/E274</f>
        <v>2.1753946033193206</v>
      </c>
    </row>
    <row r="283" spans="1:15" x14ac:dyDescent="0.35">
      <c r="A283" s="135" t="str">
        <f t="shared" si="14"/>
        <v>Sabhaya</v>
      </c>
      <c r="B283" s="144">
        <f t="shared" si="14"/>
        <v>391.36</v>
      </c>
      <c r="C283" s="144">
        <f t="shared" si="14"/>
        <v>391.36</v>
      </c>
      <c r="D283" s="144" t="e">
        <f>+D275/E275</f>
        <v>#NUM!</v>
      </c>
      <c r="E283" s="144" t="e">
        <f>+F275/E275</f>
        <v>#NUM!</v>
      </c>
      <c r="F283" s="144" t="e">
        <f>+G275/E275</f>
        <v>#NUM!</v>
      </c>
      <c r="G283" s="144" t="e">
        <f>+H275/E275</f>
        <v>#NUM!</v>
      </c>
      <c r="H283" s="144" t="e">
        <f>+I275/E275</f>
        <v>#NUM!</v>
      </c>
      <c r="I283" s="144" t="e">
        <f>+J275/E275</f>
        <v>#NUM!</v>
      </c>
      <c r="J283" s="144" t="e">
        <f>+K275/E275</f>
        <v>#NUM!</v>
      </c>
      <c r="K283" s="144" t="e">
        <f>+L275/E275</f>
        <v>#NUM!</v>
      </c>
      <c r="L283" s="144" t="e">
        <f>+M275/E275</f>
        <v>#NUM!</v>
      </c>
      <c r="M283" s="144" t="e">
        <f>+N275/E275</f>
        <v>#NUM!</v>
      </c>
      <c r="N283" s="144" t="e">
        <f>+O275/E275</f>
        <v>#NUM!</v>
      </c>
    </row>
    <row r="284" spans="1:15" x14ac:dyDescent="0.35">
      <c r="A284" s="135" t="str">
        <f t="shared" si="14"/>
        <v>Hinwa</v>
      </c>
      <c r="B284" s="144">
        <f t="shared" si="14"/>
        <v>148.13999999999999</v>
      </c>
      <c r="C284" s="144">
        <f t="shared" si="14"/>
        <v>148.13999999999999</v>
      </c>
      <c r="D284" s="144">
        <f>+D276/E276</f>
        <v>0.94171816841057809</v>
      </c>
      <c r="E284" s="144">
        <f>+F276/E276</f>
        <v>1.2532027036370852</v>
      </c>
      <c r="F284" s="144">
        <f>+G276/E276</f>
        <v>1.4594325691207408</v>
      </c>
      <c r="G284" s="144">
        <f>+H276/E276</f>
        <v>1.657253207372432</v>
      </c>
      <c r="H284" s="144">
        <f>+I276/E276</f>
        <v>1.9133117322921689</v>
      </c>
      <c r="I284" s="144">
        <f>+J276/E276</f>
        <v>2.105191563836148</v>
      </c>
      <c r="J284" s="144">
        <f>+K276/E276</f>
        <v>2.2963712581062534</v>
      </c>
      <c r="K284" s="144">
        <f>+L276/E276</f>
        <v>2.5485965625839113</v>
      </c>
      <c r="L284" s="144">
        <f>+M276/E276</f>
        <v>2.7392224714279969</v>
      </c>
      <c r="M284" s="144">
        <f>+N276/E276</f>
        <v>3.1816326548826401</v>
      </c>
      <c r="N284" s="144">
        <f>+O276/E276</f>
        <v>3.3721347259884649</v>
      </c>
    </row>
    <row r="285" spans="1:15" x14ac:dyDescent="0.35">
      <c r="A285" s="135" t="str">
        <f t="shared" si="14"/>
        <v>Turkeghat</v>
      </c>
      <c r="B285" s="144">
        <f t="shared" si="14"/>
        <v>28601.893849</v>
      </c>
      <c r="C285" s="144">
        <f t="shared" si="14"/>
        <v>17849.7</v>
      </c>
      <c r="D285" s="144">
        <f>+D277/E277</f>
        <v>0.94401379232878246</v>
      </c>
      <c r="E285" s="144">
        <f>+F277/E277</f>
        <v>1.250504149172275</v>
      </c>
      <c r="F285" s="144">
        <f>+G277/E277</f>
        <v>1.4620956187148513</v>
      </c>
      <c r="G285" s="144">
        <f>+H277/E277</f>
        <v>1.6716712444412689</v>
      </c>
      <c r="H285" s="144">
        <f>+I277/E277</f>
        <v>1.9541090289440519</v>
      </c>
      <c r="I285" s="144">
        <f>+J277/E277</f>
        <v>2.1753903817885845</v>
      </c>
      <c r="J285" s="144">
        <f>+K277/E277</f>
        <v>2.4052705299428938</v>
      </c>
      <c r="K285" s="144">
        <f>+L277/E277</f>
        <v>2.7246881000982253</v>
      </c>
      <c r="L285" s="144">
        <f>+M277/E277</f>
        <v>2.979559993786737</v>
      </c>
      <c r="M285" s="144">
        <f>+N277/E277</f>
        <v>3.621476147980307</v>
      </c>
      <c r="N285" s="144">
        <f>+O277/E277</f>
        <v>3.9218424859408598</v>
      </c>
    </row>
    <row r="286" spans="1:15" x14ac:dyDescent="0.35">
      <c r="K286" s="146"/>
      <c r="L286" s="104"/>
    </row>
    <row r="287" spans="1:15" ht="21.75" x14ac:dyDescent="0.35">
      <c r="A287" s="332" t="s">
        <v>41</v>
      </c>
      <c r="B287" s="155" t="s">
        <v>112</v>
      </c>
      <c r="C287" s="155" t="s">
        <v>113</v>
      </c>
      <c r="D287" s="155" t="s">
        <v>114</v>
      </c>
      <c r="E287" s="155" t="s">
        <v>115</v>
      </c>
      <c r="F287" s="155" t="s">
        <v>116</v>
      </c>
      <c r="G287" s="155" t="s">
        <v>117</v>
      </c>
      <c r="H287" s="155" t="s">
        <v>118</v>
      </c>
      <c r="I287" s="155" t="s">
        <v>119</v>
      </c>
      <c r="J287" s="155" t="s">
        <v>120</v>
      </c>
      <c r="K287" s="280" t="s">
        <v>224</v>
      </c>
      <c r="L287" s="280" t="s">
        <v>225</v>
      </c>
    </row>
    <row r="288" spans="1:15" x14ac:dyDescent="0.35">
      <c r="A288" s="332"/>
      <c r="B288" s="156">
        <v>2</v>
      </c>
      <c r="C288" s="156">
        <v>5</v>
      </c>
      <c r="D288" s="156">
        <v>10</v>
      </c>
      <c r="E288" s="156">
        <v>20</v>
      </c>
      <c r="F288" s="156">
        <v>50</v>
      </c>
      <c r="G288" s="156">
        <v>100</v>
      </c>
      <c r="H288" s="156">
        <v>200</v>
      </c>
      <c r="I288" s="156">
        <v>500</v>
      </c>
      <c r="J288" s="156">
        <v>1000</v>
      </c>
      <c r="K288" s="156">
        <v>5000</v>
      </c>
      <c r="L288" s="156">
        <v>10000</v>
      </c>
      <c r="M288" s="167" t="s">
        <v>31</v>
      </c>
    </row>
    <row r="289" spans="1:13" x14ac:dyDescent="0.35">
      <c r="A289" s="145" t="s">
        <v>129</v>
      </c>
      <c r="B289" s="154" t="e">
        <f>+MEDIAN(D282:D285)</f>
        <v>#NUM!</v>
      </c>
      <c r="C289" s="154" t="e">
        <f t="shared" ref="C289:L289" si="15">+MEDIAN(E282:E285)</f>
        <v>#NUM!</v>
      </c>
      <c r="D289" s="154" t="e">
        <f t="shared" si="15"/>
        <v>#NUM!</v>
      </c>
      <c r="E289" s="154" t="e">
        <f t="shared" si="15"/>
        <v>#NUM!</v>
      </c>
      <c r="F289" s="154" t="e">
        <f t="shared" si="15"/>
        <v>#NUM!</v>
      </c>
      <c r="G289" s="154" t="e">
        <f t="shared" si="15"/>
        <v>#NUM!</v>
      </c>
      <c r="H289" s="154" t="e">
        <f t="shared" si="15"/>
        <v>#NUM!</v>
      </c>
      <c r="I289" s="154" t="e">
        <f t="shared" si="15"/>
        <v>#NUM!</v>
      </c>
      <c r="J289" s="154" t="e">
        <f t="shared" si="15"/>
        <v>#NUM!</v>
      </c>
      <c r="K289" s="154" t="e">
        <f t="shared" si="15"/>
        <v>#NUM!</v>
      </c>
      <c r="L289" s="154" t="e">
        <f t="shared" si="15"/>
        <v>#NUM!</v>
      </c>
      <c r="M289" s="167" t="s">
        <v>100</v>
      </c>
    </row>
    <row r="290" spans="1:13" x14ac:dyDescent="0.35">
      <c r="A290" s="157"/>
      <c r="B290" s="159"/>
      <c r="C290" s="159"/>
      <c r="D290" s="159"/>
      <c r="E290" s="159"/>
      <c r="F290" s="159"/>
      <c r="G290" s="159"/>
      <c r="H290" s="159"/>
      <c r="I290" s="159"/>
      <c r="J290" s="159"/>
      <c r="K290" s="167"/>
      <c r="L290" s="104"/>
    </row>
    <row r="291" spans="1:13" x14ac:dyDescent="0.35">
      <c r="A291" s="162" t="s">
        <v>122</v>
      </c>
      <c r="B291" s="159"/>
      <c r="C291" s="159"/>
      <c r="D291" s="159"/>
      <c r="E291" s="159"/>
      <c r="F291" s="159"/>
      <c r="G291" s="159"/>
      <c r="H291" s="159"/>
      <c r="I291" s="159"/>
      <c r="J291" s="159"/>
      <c r="L291" s="104"/>
    </row>
    <row r="292" spans="1:13" x14ac:dyDescent="0.35">
      <c r="L292" s="104"/>
    </row>
    <row r="293" spans="1:13" x14ac:dyDescent="0.35">
      <c r="A293" s="145" t="s">
        <v>101</v>
      </c>
      <c r="B293" s="158">
        <f>+LOG(B288)</f>
        <v>0.3010299956639812</v>
      </c>
      <c r="C293" s="158">
        <f t="shared" ref="C293:L293" si="16">+LOG(C288)</f>
        <v>0.69897000433601886</v>
      </c>
      <c r="D293" s="158">
        <f t="shared" si="16"/>
        <v>1</v>
      </c>
      <c r="E293" s="158">
        <f t="shared" si="16"/>
        <v>1.3010299956639813</v>
      </c>
      <c r="F293" s="158">
        <f t="shared" si="16"/>
        <v>1.6989700043360187</v>
      </c>
      <c r="G293" s="158">
        <f t="shared" si="16"/>
        <v>2</v>
      </c>
      <c r="H293" s="158">
        <f t="shared" si="16"/>
        <v>2.3010299956639813</v>
      </c>
      <c r="I293" s="158">
        <f t="shared" si="16"/>
        <v>2.6989700043360187</v>
      </c>
      <c r="J293" s="158">
        <f t="shared" si="16"/>
        <v>3</v>
      </c>
      <c r="K293" s="158">
        <f t="shared" si="16"/>
        <v>3.6989700043360187</v>
      </c>
      <c r="L293" s="158">
        <f t="shared" si="16"/>
        <v>4</v>
      </c>
    </row>
    <row r="294" spans="1:13" x14ac:dyDescent="0.35">
      <c r="A294" s="179" t="s">
        <v>102</v>
      </c>
      <c r="B294" s="180" t="e">
        <f>+LOG(B289)</f>
        <v>#NUM!</v>
      </c>
      <c r="C294" s="180" t="e">
        <f t="shared" ref="C294:L294" si="17">+LOG(C289)</f>
        <v>#NUM!</v>
      </c>
      <c r="D294" s="180" t="e">
        <f t="shared" si="17"/>
        <v>#NUM!</v>
      </c>
      <c r="E294" s="180" t="e">
        <f t="shared" si="17"/>
        <v>#NUM!</v>
      </c>
      <c r="F294" s="180" t="e">
        <f t="shared" si="17"/>
        <v>#NUM!</v>
      </c>
      <c r="G294" s="180" t="e">
        <f t="shared" si="17"/>
        <v>#NUM!</v>
      </c>
      <c r="H294" s="180" t="e">
        <f t="shared" si="17"/>
        <v>#NUM!</v>
      </c>
      <c r="I294" s="180" t="e">
        <f t="shared" si="17"/>
        <v>#NUM!</v>
      </c>
      <c r="J294" s="180" t="e">
        <f t="shared" si="17"/>
        <v>#NUM!</v>
      </c>
      <c r="K294" s="180" t="e">
        <f t="shared" si="17"/>
        <v>#NUM!</v>
      </c>
      <c r="L294" s="180" t="e">
        <f t="shared" si="17"/>
        <v>#NUM!</v>
      </c>
    </row>
    <row r="295" spans="1:13" x14ac:dyDescent="0.35">
      <c r="A295" s="135" t="str">
        <f>+A282</f>
        <v>Uwa Gaon</v>
      </c>
      <c r="B295" s="277">
        <f t="shared" ref="B295:L298" si="18">+LOG(D282)</f>
        <v>-1.2726517049813185E-2</v>
      </c>
      <c r="C295" s="277">
        <f t="shared" si="18"/>
        <v>5.1330888875790161E-2</v>
      </c>
      <c r="D295" s="277">
        <f t="shared" si="18"/>
        <v>8.9074283612188207E-2</v>
      </c>
      <c r="E295" s="277">
        <f t="shared" si="18"/>
        <v>0.12243525658072565</v>
      </c>
      <c r="F295" s="277">
        <f t="shared" si="18"/>
        <v>0.16213009636276909</v>
      </c>
      <c r="G295" s="277">
        <f t="shared" si="18"/>
        <v>0.18966525399995504</v>
      </c>
      <c r="H295" s="277">
        <f t="shared" si="18"/>
        <v>0.21546649954794936</v>
      </c>
      <c r="I295" s="277">
        <f t="shared" si="18"/>
        <v>0.24731784670725451</v>
      </c>
      <c r="J295" s="277">
        <f t="shared" si="18"/>
        <v>0.2699297808752803</v>
      </c>
      <c r="K295" s="277">
        <f t="shared" si="18"/>
        <v>0.31827222187169057</v>
      </c>
      <c r="L295" s="277">
        <f t="shared" si="18"/>
        <v>0.33753804680793353</v>
      </c>
    </row>
    <row r="296" spans="1:13" x14ac:dyDescent="0.35">
      <c r="A296" s="135" t="str">
        <f>+A283</f>
        <v>Sabhaya</v>
      </c>
      <c r="B296" s="277" t="e">
        <f t="shared" si="18"/>
        <v>#NUM!</v>
      </c>
      <c r="C296" s="277" t="e">
        <f t="shared" si="18"/>
        <v>#NUM!</v>
      </c>
      <c r="D296" s="277" t="e">
        <f t="shared" si="18"/>
        <v>#NUM!</v>
      </c>
      <c r="E296" s="277" t="e">
        <f t="shared" si="18"/>
        <v>#NUM!</v>
      </c>
      <c r="F296" s="277" t="e">
        <f t="shared" si="18"/>
        <v>#NUM!</v>
      </c>
      <c r="G296" s="277" t="e">
        <f t="shared" si="18"/>
        <v>#NUM!</v>
      </c>
      <c r="H296" s="277" t="e">
        <f t="shared" si="18"/>
        <v>#NUM!</v>
      </c>
      <c r="I296" s="277" t="e">
        <f t="shared" si="18"/>
        <v>#NUM!</v>
      </c>
      <c r="J296" s="277" t="e">
        <f t="shared" si="18"/>
        <v>#NUM!</v>
      </c>
      <c r="K296" s="277" t="e">
        <f t="shared" si="18"/>
        <v>#NUM!</v>
      </c>
      <c r="L296" s="277" t="e">
        <f t="shared" si="18"/>
        <v>#NUM!</v>
      </c>
    </row>
    <row r="297" spans="1:13" x14ac:dyDescent="0.35">
      <c r="A297" s="135" t="str">
        <f>+A284</f>
        <v>Hinwa</v>
      </c>
      <c r="B297" s="277">
        <f t="shared" si="18"/>
        <v>-2.6079050728915653E-2</v>
      </c>
      <c r="C297" s="277">
        <f t="shared" si="18"/>
        <v>9.8021323149821232E-2</v>
      </c>
      <c r="D297" s="277">
        <f t="shared" si="18"/>
        <v>0.16418403386648395</v>
      </c>
      <c r="E297" s="277">
        <f t="shared" si="18"/>
        <v>0.21938886820415571</v>
      </c>
      <c r="F297" s="277">
        <f t="shared" si="18"/>
        <v>0.28178573457764705</v>
      </c>
      <c r="G297" s="277">
        <f t="shared" si="18"/>
        <v>0.32329162099432301</v>
      </c>
      <c r="H297" s="277">
        <f t="shared" si="18"/>
        <v>0.36104210250320673</v>
      </c>
      <c r="I297" s="277">
        <f t="shared" si="18"/>
        <v>0.40630109301708822</v>
      </c>
      <c r="J297" s="277">
        <f t="shared" si="18"/>
        <v>0.43762730578077313</v>
      </c>
      <c r="K297" s="277">
        <f t="shared" si="18"/>
        <v>0.50265003540895214</v>
      </c>
      <c r="L297" s="277">
        <f t="shared" si="18"/>
        <v>0.52790491754953495</v>
      </c>
    </row>
    <row r="298" spans="1:13" x14ac:dyDescent="0.35">
      <c r="A298" s="135" t="str">
        <f>+A285</f>
        <v>Turkeghat</v>
      </c>
      <c r="B298" s="277">
        <f t="shared" si="18"/>
        <v>-2.5021660481035646E-2</v>
      </c>
      <c r="C298" s="277">
        <f t="shared" si="18"/>
        <v>9.7085137057832047E-2</v>
      </c>
      <c r="D298" s="277">
        <f t="shared" si="18"/>
        <v>0.16497577571507541</v>
      </c>
      <c r="E298" s="277">
        <f t="shared" si="18"/>
        <v>0.22315087192861516</v>
      </c>
      <c r="F298" s="277">
        <f t="shared" si="18"/>
        <v>0.29094879139288043</v>
      </c>
      <c r="G298" s="277">
        <f t="shared" si="18"/>
        <v>0.33753720402323595</v>
      </c>
      <c r="H298" s="277">
        <f t="shared" si="18"/>
        <v>0.38116393021250572</v>
      </c>
      <c r="I298" s="277">
        <f t="shared" si="18"/>
        <v>0.43531679499470927</v>
      </c>
      <c r="J298" s="277">
        <f t="shared" si="18"/>
        <v>0.47415213441870679</v>
      </c>
      <c r="K298" s="277">
        <f t="shared" si="18"/>
        <v>0.55888562916543871</v>
      </c>
      <c r="L298" s="277">
        <f t="shared" si="18"/>
        <v>0.59349014699101488</v>
      </c>
    </row>
    <row r="299" spans="1:13" x14ac:dyDescent="0.35">
      <c r="K299" s="146"/>
      <c r="L299" s="104"/>
    </row>
    <row r="300" spans="1:13" x14ac:dyDescent="0.35">
      <c r="K300" s="146"/>
      <c r="L300" s="104"/>
    </row>
    <row r="301" spans="1:13" x14ac:dyDescent="0.35">
      <c r="K301" s="146"/>
      <c r="L301" s="104"/>
    </row>
    <row r="302" spans="1:13" x14ac:dyDescent="0.35">
      <c r="K302" s="146"/>
      <c r="L302" s="104"/>
    </row>
    <row r="303" spans="1:13" x14ac:dyDescent="0.35">
      <c r="K303" s="146"/>
      <c r="L303" s="104"/>
    </row>
    <row r="304" spans="1:13" x14ac:dyDescent="0.35">
      <c r="K304" s="146"/>
      <c r="L304" s="104"/>
    </row>
    <row r="305" spans="1:17" x14ac:dyDescent="0.35">
      <c r="K305" s="177"/>
      <c r="L305" s="104"/>
    </row>
    <row r="306" spans="1:17" x14ac:dyDescent="0.35">
      <c r="K306" s="146"/>
      <c r="L306" s="104"/>
    </row>
    <row r="307" spans="1:17" x14ac:dyDescent="0.35">
      <c r="K307" s="146"/>
      <c r="L307" s="104"/>
    </row>
    <row r="308" spans="1:17" x14ac:dyDescent="0.35">
      <c r="K308" s="146"/>
      <c r="L308" s="104"/>
    </row>
    <row r="309" spans="1:17" x14ac:dyDescent="0.35">
      <c r="L309" s="104"/>
    </row>
    <row r="310" spans="1:17" x14ac:dyDescent="0.35">
      <c r="L310" s="104"/>
    </row>
    <row r="311" spans="1:17" x14ac:dyDescent="0.35">
      <c r="L311" s="104"/>
    </row>
    <row r="312" spans="1:17" x14ac:dyDescent="0.35">
      <c r="L312" s="104"/>
    </row>
    <row r="313" spans="1:17" x14ac:dyDescent="0.35">
      <c r="L313" s="104"/>
    </row>
    <row r="314" spans="1:17" x14ac:dyDescent="0.35">
      <c r="L314" s="104"/>
      <c r="N314" s="87" t="str">
        <f>+E272</f>
        <v>Q2.33</v>
      </c>
      <c r="O314" s="241" t="s">
        <v>138</v>
      </c>
      <c r="P314" s="241" t="s">
        <v>139</v>
      </c>
      <c r="Q314" s="241" t="s">
        <v>140</v>
      </c>
    </row>
    <row r="315" spans="1:17" ht="18.75" x14ac:dyDescent="0.35">
      <c r="A315" s="104" t="s">
        <v>130</v>
      </c>
      <c r="E315" s="278" t="s">
        <v>221</v>
      </c>
      <c r="L315" s="104"/>
      <c r="N315" s="135" t="s">
        <v>143</v>
      </c>
      <c r="O315" s="240" t="e">
        <f t="array" ref="O315:Q322">+LINEST(E274:E277,C274:C277^{1,2},TRUE,TRUE)</f>
        <v>#VALUE!</v>
      </c>
      <c r="P315" s="132" t="e">
        <v>#VALUE!</v>
      </c>
      <c r="Q315" s="132" t="e">
        <v>#VALUE!</v>
      </c>
    </row>
    <row r="316" spans="1:17" ht="18.75" customHeight="1" x14ac:dyDescent="0.4">
      <c r="D316" s="172" t="s">
        <v>110</v>
      </c>
      <c r="E316" s="160" t="s">
        <v>267</v>
      </c>
      <c r="F316" s="160"/>
      <c r="L316" s="104"/>
      <c r="N316" s="135"/>
      <c r="O316" s="240" t="e">
        <v>#VALUE!</v>
      </c>
      <c r="P316" s="132" t="e">
        <v>#VALUE!</v>
      </c>
      <c r="Q316" s="132" t="e">
        <v>#VALUE!</v>
      </c>
    </row>
    <row r="317" spans="1:17" ht="18.75" x14ac:dyDescent="0.35">
      <c r="E317" s="138" t="s">
        <v>111</v>
      </c>
      <c r="F317" s="171"/>
      <c r="J317" s="170"/>
      <c r="L317" s="104"/>
      <c r="N317" s="135" t="s">
        <v>142</v>
      </c>
      <c r="O317" s="147" t="e">
        <v>#VALUE!</v>
      </c>
      <c r="P317" s="132" t="e">
        <v>#VALUE!</v>
      </c>
      <c r="Q317" s="132" t="e">
        <v>#VALUE!</v>
      </c>
    </row>
    <row r="318" spans="1:17" x14ac:dyDescent="0.35">
      <c r="E318" s="138"/>
      <c r="F318" s="171"/>
      <c r="J318" s="170"/>
      <c r="K318" s="146"/>
      <c r="L318" s="104"/>
      <c r="N318" s="336" t="s">
        <v>144</v>
      </c>
      <c r="O318" s="132" t="e">
        <v>#VALUE!</v>
      </c>
      <c r="P318" s="132" t="e">
        <v>#VALUE!</v>
      </c>
      <c r="Q318" s="132" t="e">
        <v>#VALUE!</v>
      </c>
    </row>
    <row r="319" spans="1:17" ht="18.75" x14ac:dyDescent="0.35">
      <c r="A319" s="135" t="s">
        <v>261</v>
      </c>
      <c r="B319" s="135"/>
      <c r="C319" s="182">
        <f>'Station Details'!H4</f>
        <v>209.73</v>
      </c>
      <c r="D319" s="135" t="s">
        <v>103</v>
      </c>
      <c r="E319" s="138"/>
      <c r="F319" s="171"/>
      <c r="J319" s="170"/>
      <c r="K319" s="146"/>
      <c r="L319" s="104"/>
      <c r="N319" s="337"/>
      <c r="O319" s="132" t="e">
        <v>#VALUE!</v>
      </c>
      <c r="P319" s="132" t="e">
        <v>#VALUE!</v>
      </c>
      <c r="Q319" s="132" t="e">
        <v>#VALUE!</v>
      </c>
    </row>
    <row r="320" spans="1:17" x14ac:dyDescent="0.35">
      <c r="E320" s="138"/>
      <c r="F320" s="171"/>
      <c r="J320" s="170"/>
      <c r="K320" s="146"/>
      <c r="L320" s="104"/>
      <c r="N320" s="337"/>
      <c r="O320" s="132" t="e">
        <v>#VALUE!</v>
      </c>
      <c r="P320" s="132" t="e">
        <v>#VALUE!</v>
      </c>
      <c r="Q320" s="132" t="e">
        <v>#VALUE!</v>
      </c>
    </row>
    <row r="321" spans="1:17" x14ac:dyDescent="0.35">
      <c r="K321" s="146"/>
      <c r="L321" s="104"/>
      <c r="N321" s="337"/>
      <c r="O321" s="132" t="e">
        <v>#VALUE!</v>
      </c>
      <c r="P321" s="132" t="e">
        <v>#VALUE!</v>
      </c>
      <c r="Q321" s="132" t="e">
        <v>#VALUE!</v>
      </c>
    </row>
    <row r="322" spans="1:17" ht="21.75" x14ac:dyDescent="0.35">
      <c r="A322" s="332" t="s">
        <v>41</v>
      </c>
      <c r="B322" s="155" t="s">
        <v>112</v>
      </c>
      <c r="C322" s="155" t="s">
        <v>113</v>
      </c>
      <c r="D322" s="155" t="s">
        <v>114</v>
      </c>
      <c r="E322" s="155" t="s">
        <v>115</v>
      </c>
      <c r="F322" s="155" t="s">
        <v>116</v>
      </c>
      <c r="G322" s="155" t="s">
        <v>117</v>
      </c>
      <c r="H322" s="155" t="s">
        <v>118</v>
      </c>
      <c r="I322" s="155" t="s">
        <v>119</v>
      </c>
      <c r="J322" s="155" t="s">
        <v>120</v>
      </c>
      <c r="K322" s="280" t="s">
        <v>228</v>
      </c>
      <c r="L322" s="280" t="s">
        <v>225</v>
      </c>
      <c r="N322" s="338"/>
      <c r="O322" s="132" t="e">
        <v>#VALUE!</v>
      </c>
      <c r="P322" s="132" t="e">
        <v>#VALUE!</v>
      </c>
      <c r="Q322" s="132" t="e">
        <v>#VALUE!</v>
      </c>
    </row>
    <row r="323" spans="1:17" x14ac:dyDescent="0.35">
      <c r="A323" s="332"/>
      <c r="B323" s="156">
        <v>2</v>
      </c>
      <c r="C323" s="156">
        <v>5</v>
      </c>
      <c r="D323" s="156">
        <v>10</v>
      </c>
      <c r="E323" s="156">
        <v>20</v>
      </c>
      <c r="F323" s="156">
        <v>50</v>
      </c>
      <c r="G323" s="156">
        <v>100</v>
      </c>
      <c r="H323" s="156">
        <v>200</v>
      </c>
      <c r="I323" s="156">
        <v>500</v>
      </c>
      <c r="J323" s="156">
        <v>1000</v>
      </c>
      <c r="K323" s="156">
        <v>5000</v>
      </c>
      <c r="L323" s="156">
        <v>10000</v>
      </c>
      <c r="M323" s="183"/>
    </row>
    <row r="324" spans="1:17" x14ac:dyDescent="0.35">
      <c r="A324" s="135" t="s">
        <v>262</v>
      </c>
      <c r="B324" s="178" t="e">
        <f>($O$315* $C$319^2 + $P$315* $C$319 + $Q$315)*B289</f>
        <v>#VALUE!</v>
      </c>
      <c r="C324" s="178" t="e">
        <f t="shared" ref="C324:L324" si="19">($O$315* $C$319^2 + $P$315* $C$319 + $Q$315)*C289</f>
        <v>#VALUE!</v>
      </c>
      <c r="D324" s="178" t="e">
        <f t="shared" si="19"/>
        <v>#VALUE!</v>
      </c>
      <c r="E324" s="178" t="e">
        <f t="shared" si="19"/>
        <v>#VALUE!</v>
      </c>
      <c r="F324" s="178" t="e">
        <f t="shared" si="19"/>
        <v>#VALUE!</v>
      </c>
      <c r="G324" s="178" t="e">
        <f>($O$315* $C$319^2 + $P$315* $C$319 + $Q$315)*G289</f>
        <v>#VALUE!</v>
      </c>
      <c r="H324" s="178" t="e">
        <f t="shared" si="19"/>
        <v>#VALUE!</v>
      </c>
      <c r="I324" s="178" t="e">
        <f t="shared" si="19"/>
        <v>#VALUE!</v>
      </c>
      <c r="J324" s="178" t="e">
        <f t="shared" si="19"/>
        <v>#VALUE!</v>
      </c>
      <c r="K324" s="178" t="e">
        <f t="shared" si="19"/>
        <v>#VALUE!</v>
      </c>
      <c r="L324" s="178" t="e">
        <f t="shared" si="19"/>
        <v>#VALUE!</v>
      </c>
      <c r="M324" s="183"/>
    </row>
    <row r="325" spans="1:17" x14ac:dyDescent="0.35">
      <c r="M325" s="184"/>
    </row>
    <row r="326" spans="1:17" x14ac:dyDescent="0.35">
      <c r="M326" s="184"/>
    </row>
    <row r="327" spans="1:17" x14ac:dyDescent="0.35">
      <c r="M327" s="184"/>
    </row>
    <row r="328" spans="1:17" x14ac:dyDescent="0.35">
      <c r="M328" s="183"/>
    </row>
    <row r="329" spans="1:17" x14ac:dyDescent="0.35">
      <c r="M329" s="184"/>
    </row>
    <row r="330" spans="1:17" x14ac:dyDescent="0.35">
      <c r="M330" s="183"/>
    </row>
    <row r="331" spans="1:17" x14ac:dyDescent="0.35">
      <c r="M331" s="183"/>
    </row>
    <row r="332" spans="1:17" x14ac:dyDescent="0.35">
      <c r="M332" s="184"/>
    </row>
    <row r="333" spans="1:17" x14ac:dyDescent="0.35">
      <c r="M333" s="183"/>
    </row>
    <row r="334" spans="1:17" x14ac:dyDescent="0.35">
      <c r="M334" s="183"/>
    </row>
    <row r="335" spans="1:17" x14ac:dyDescent="0.35">
      <c r="M335" s="184"/>
    </row>
    <row r="336" spans="1:17" x14ac:dyDescent="0.35">
      <c r="M336" s="325"/>
    </row>
    <row r="337" spans="2:13" x14ac:dyDescent="0.35">
      <c r="M337" s="325"/>
    </row>
    <row r="338" spans="2:13" x14ac:dyDescent="0.35">
      <c r="B338" s="146"/>
      <c r="C338" s="146"/>
      <c r="M338" s="325"/>
    </row>
    <row r="339" spans="2:13" x14ac:dyDescent="0.35">
      <c r="B339" s="146"/>
      <c r="C339" s="146"/>
      <c r="M339" s="183"/>
    </row>
    <row r="340" spans="2:13" x14ac:dyDescent="0.35">
      <c r="M340" s="185"/>
    </row>
    <row r="341" spans="2:13" x14ac:dyDescent="0.35">
      <c r="M341" s="186"/>
    </row>
  </sheetData>
  <mergeCells count="40">
    <mergeCell ref="P263:P264"/>
    <mergeCell ref="D271:O271"/>
    <mergeCell ref="D279:N279"/>
    <mergeCell ref="B124:N124"/>
    <mergeCell ref="B78:N78"/>
    <mergeCell ref="B101:N101"/>
    <mergeCell ref="B220:N220"/>
    <mergeCell ref="O263:O264"/>
    <mergeCell ref="A169:A170"/>
    <mergeCell ref="A1:M1"/>
    <mergeCell ref="A2:M2"/>
    <mergeCell ref="A53:A54"/>
    <mergeCell ref="A26:A27"/>
    <mergeCell ref="A78:A79"/>
    <mergeCell ref="B26:L26"/>
    <mergeCell ref="A101:A102"/>
    <mergeCell ref="A124:A125"/>
    <mergeCell ref="B169:N169"/>
    <mergeCell ref="B146:N146"/>
    <mergeCell ref="B53:N53"/>
    <mergeCell ref="A220:A221"/>
    <mergeCell ref="B192:N192"/>
    <mergeCell ref="A192:A193"/>
    <mergeCell ref="A322:A323"/>
    <mergeCell ref="A272:A273"/>
    <mergeCell ref="A280:A281"/>
    <mergeCell ref="A287:A288"/>
    <mergeCell ref="N318:N322"/>
    <mergeCell ref="E263:E264"/>
    <mergeCell ref="N263:N264"/>
    <mergeCell ref="B263:D263"/>
    <mergeCell ref="M336:M338"/>
    <mergeCell ref="L263:L264"/>
    <mergeCell ref="H263:H264"/>
    <mergeCell ref="G263:G264"/>
    <mergeCell ref="F263:F264"/>
    <mergeCell ref="K263:K264"/>
    <mergeCell ref="I263:I264"/>
    <mergeCell ref="J263:J264"/>
    <mergeCell ref="M263:M264"/>
  </mergeCells>
  <pageMargins left="0.7" right="0.7" top="0.75" bottom="0.75" header="0.3" footer="0.3"/>
  <pageSetup paperSize="9" scale="42" orientation="portrait" r:id="rId1"/>
  <colBreaks count="2" manualBreakCount="2">
    <brk id="12" max="49" man="1"/>
    <brk id="29" max="4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>
    <tabColor theme="4" tint="-0.249977111117893"/>
  </sheetPr>
  <dimension ref="A1:U149"/>
  <sheetViews>
    <sheetView topLeftCell="G114" zoomScale="85" zoomScaleNormal="85" workbookViewId="0">
      <selection activeCell="H133" sqref="H133:J133"/>
    </sheetView>
  </sheetViews>
  <sheetFormatPr defaultRowHeight="15" x14ac:dyDescent="0.3"/>
  <cols>
    <col min="1" max="1" width="28.5703125" style="215" customWidth="1"/>
    <col min="2" max="2" width="17.140625" style="215" customWidth="1"/>
    <col min="3" max="3" width="10.7109375" style="215" customWidth="1"/>
    <col min="4" max="5" width="10.140625" style="215" customWidth="1"/>
    <col min="6" max="6" width="10.42578125" style="215" customWidth="1"/>
    <col min="7" max="7" width="10.85546875" style="215" customWidth="1"/>
    <col min="8" max="9" width="11.5703125" style="215" bestFit="1" customWidth="1"/>
    <col min="10" max="10" width="10" style="215" customWidth="1"/>
    <col min="11" max="11" width="11.5703125" style="215" bestFit="1" customWidth="1"/>
    <col min="12" max="12" width="11.5703125" style="215" customWidth="1"/>
    <col min="13" max="13" width="11.28515625" style="215" customWidth="1"/>
    <col min="14" max="14" width="11.5703125" style="215" bestFit="1" customWidth="1"/>
    <col min="15" max="17" width="9.140625" style="215"/>
    <col min="18" max="18" width="19.28515625" style="215" customWidth="1"/>
    <col min="19" max="19" width="20.7109375" style="215" customWidth="1"/>
    <col min="20" max="20" width="9.140625" style="215"/>
    <col min="21" max="21" width="18.5703125" style="215" customWidth="1"/>
    <col min="22" max="22" width="19.85546875" style="215" customWidth="1"/>
    <col min="23" max="16384" width="9.140625" style="215"/>
  </cols>
  <sheetData>
    <row r="1" spans="1:14" ht="17.25" x14ac:dyDescent="0.35">
      <c r="A1" s="352" t="s">
        <v>65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</row>
    <row r="2" spans="1:14" ht="17.25" x14ac:dyDescent="0.35">
      <c r="A2" s="352" t="s">
        <v>220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</row>
    <row r="3" spans="1:14" ht="18" customHeight="1" x14ac:dyDescent="0.35">
      <c r="A3" s="259" t="s">
        <v>211</v>
      </c>
      <c r="B3" s="259"/>
      <c r="C3" s="259"/>
      <c r="D3" s="259"/>
      <c r="E3" s="259"/>
      <c r="F3" s="259"/>
      <c r="G3" s="213"/>
      <c r="H3" s="213"/>
      <c r="I3" s="213"/>
      <c r="J3" s="259"/>
      <c r="K3" s="213"/>
      <c r="L3" s="213"/>
    </row>
    <row r="4" spans="1:14" ht="17.25" x14ac:dyDescent="0.35">
      <c r="A4" s="213" t="s">
        <v>212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</row>
    <row r="5" spans="1:14" ht="17.25" x14ac:dyDescent="0.35">
      <c r="A5" s="260" t="s">
        <v>13</v>
      </c>
      <c r="B5" s="261">
        <v>43343</v>
      </c>
      <c r="C5" s="261"/>
      <c r="D5" s="213"/>
      <c r="E5" s="213"/>
      <c r="F5" s="213"/>
      <c r="G5" s="213"/>
      <c r="H5" s="213"/>
      <c r="I5" s="213"/>
      <c r="J5" s="213"/>
      <c r="K5" s="213"/>
      <c r="L5" s="213"/>
    </row>
    <row r="6" spans="1:14" ht="17.25" x14ac:dyDescent="0.35">
      <c r="A6" s="213" t="s">
        <v>151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</row>
    <row r="7" spans="1:14" ht="17.25" x14ac:dyDescent="0.35">
      <c r="A7" s="262" t="s">
        <v>217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</row>
    <row r="8" spans="1:14" ht="17.25" x14ac:dyDescent="0.35">
      <c r="A8" s="112" t="str">
        <f>'Regional flood frequency analys'!A51</f>
        <v>1) Sabhaya at Tumlingtar (602)</v>
      </c>
      <c r="B8" s="114"/>
      <c r="C8" s="117"/>
      <c r="D8" s="104"/>
      <c r="E8" s="117"/>
      <c r="F8" s="117"/>
      <c r="G8" s="117"/>
      <c r="H8" s="117"/>
      <c r="I8" s="117"/>
      <c r="J8" s="117"/>
      <c r="K8" s="117"/>
      <c r="L8" s="117"/>
      <c r="M8" s="245"/>
    </row>
    <row r="9" spans="1:14" ht="17.25" x14ac:dyDescent="0.35">
      <c r="A9" s="104"/>
      <c r="B9" s="118"/>
      <c r="C9" s="118"/>
      <c r="D9" s="104"/>
      <c r="E9" s="118"/>
      <c r="F9" s="118"/>
      <c r="G9" s="118"/>
      <c r="H9" s="118"/>
      <c r="I9" s="118"/>
      <c r="J9" s="118"/>
      <c r="K9" s="118"/>
      <c r="L9" s="118"/>
      <c r="M9" s="245"/>
    </row>
    <row r="10" spans="1:14" ht="17.25" x14ac:dyDescent="0.35">
      <c r="A10" s="328" t="s">
        <v>0</v>
      </c>
      <c r="B10" s="351" t="s">
        <v>1</v>
      </c>
      <c r="C10" s="351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</row>
    <row r="11" spans="1:14" ht="17.25" x14ac:dyDescent="0.35">
      <c r="A11" s="329"/>
      <c r="B11" s="192">
        <v>1</v>
      </c>
      <c r="C11" s="192">
        <v>2</v>
      </c>
      <c r="D11" s="192">
        <v>2.33</v>
      </c>
      <c r="E11" s="192">
        <v>5</v>
      </c>
      <c r="F11" s="192">
        <v>10</v>
      </c>
      <c r="G11" s="192">
        <v>20</v>
      </c>
      <c r="H11" s="192">
        <v>50</v>
      </c>
      <c r="I11" s="192">
        <v>100</v>
      </c>
      <c r="J11" s="192">
        <v>200</v>
      </c>
      <c r="K11" s="192">
        <v>500</v>
      </c>
      <c r="L11" s="192">
        <v>1000</v>
      </c>
      <c r="M11" s="192">
        <v>5000</v>
      </c>
      <c r="N11" s="192">
        <v>10000</v>
      </c>
    </row>
    <row r="12" spans="1:14" ht="17.25" x14ac:dyDescent="0.35">
      <c r="A12" s="115" t="s">
        <v>8</v>
      </c>
      <c r="B12" s="123" t="e">
        <f>'Regional flood frequency analys'!B55</f>
        <v>#NUM!</v>
      </c>
      <c r="C12" s="123" t="e">
        <f>'Regional flood frequency analys'!C55</f>
        <v>#NUM!</v>
      </c>
      <c r="D12" s="123" t="e">
        <f>'Regional flood frequency analys'!D55</f>
        <v>#NUM!</v>
      </c>
      <c r="E12" s="123" t="e">
        <f>'Regional flood frequency analys'!E55</f>
        <v>#NUM!</v>
      </c>
      <c r="F12" s="123" t="e">
        <f>'Regional flood frequency analys'!F55</f>
        <v>#NUM!</v>
      </c>
      <c r="G12" s="123" t="e">
        <f>'Regional flood frequency analys'!G55</f>
        <v>#NUM!</v>
      </c>
      <c r="H12" s="123" t="e">
        <f>'Regional flood frequency analys'!H55</f>
        <v>#NUM!</v>
      </c>
      <c r="I12" s="123" t="e">
        <f>'Regional flood frequency analys'!I55</f>
        <v>#NUM!</v>
      </c>
      <c r="J12" s="123" t="e">
        <f>'Regional flood frequency analys'!J55</f>
        <v>#NUM!</v>
      </c>
      <c r="K12" s="123" t="e">
        <f>'Regional flood frequency analys'!K55</f>
        <v>#NUM!</v>
      </c>
      <c r="L12" s="123" t="e">
        <f>'Regional flood frequency analys'!L55</f>
        <v>#NUM!</v>
      </c>
      <c r="M12" s="123" t="e">
        <f>'Regional flood frequency analys'!M55</f>
        <v>#NUM!</v>
      </c>
      <c r="N12" s="123" t="e">
        <f>'Regional flood frequency analys'!N55</f>
        <v>#NUM!</v>
      </c>
    </row>
    <row r="13" spans="1:14" ht="17.25" x14ac:dyDescent="0.35">
      <c r="A13" s="309" t="s">
        <v>9</v>
      </c>
      <c r="B13" s="124" t="e">
        <f>'Regional flood frequency analys'!B56</f>
        <v>#NUM!</v>
      </c>
      <c r="C13" s="124" t="e">
        <f>'Regional flood frequency analys'!C56</f>
        <v>#NUM!</v>
      </c>
      <c r="D13" s="124" t="e">
        <f>'Regional flood frequency analys'!D56</f>
        <v>#NUM!</v>
      </c>
      <c r="E13" s="124" t="e">
        <f>'Regional flood frequency analys'!E56</f>
        <v>#NUM!</v>
      </c>
      <c r="F13" s="124" t="e">
        <f>'Regional flood frequency analys'!F56</f>
        <v>#NUM!</v>
      </c>
      <c r="G13" s="124" t="e">
        <f>'Regional flood frequency analys'!G56</f>
        <v>#NUM!</v>
      </c>
      <c r="H13" s="124" t="e">
        <f>'Regional flood frequency analys'!H56</f>
        <v>#NUM!</v>
      </c>
      <c r="I13" s="124" t="e">
        <f>'Regional flood frequency analys'!I56</f>
        <v>#NUM!</v>
      </c>
      <c r="J13" s="124" t="e">
        <f>'Regional flood frequency analys'!J56</f>
        <v>#NUM!</v>
      </c>
      <c r="K13" s="124" t="e">
        <f>'Regional flood frequency analys'!K56</f>
        <v>#NUM!</v>
      </c>
      <c r="L13" s="124" t="e">
        <f>'Regional flood frequency analys'!L56</f>
        <v>#NUM!</v>
      </c>
      <c r="M13" s="124" t="e">
        <f>'Regional flood frequency analys'!M56</f>
        <v>#NUM!</v>
      </c>
      <c r="N13" s="124" t="e">
        <f>'Regional flood frequency analys'!N56</f>
        <v>#NUM!</v>
      </c>
    </row>
    <row r="14" spans="1:14" ht="17.25" x14ac:dyDescent="0.35">
      <c r="A14" s="115" t="s">
        <v>7</v>
      </c>
      <c r="B14" s="123" t="str">
        <f>+'Regional flood frequency analys'!B173</f>
        <v>-</v>
      </c>
      <c r="C14" s="123">
        <f>'Regional flood frequency analys'!C57</f>
        <v>196.85398524883777</v>
      </c>
      <c r="D14" s="123">
        <f>'Regional flood frequency analys'!D57</f>
        <v>221.06225743449147</v>
      </c>
      <c r="E14" s="123">
        <f>'Regional flood frequency analys'!E57</f>
        <v>326.23396876592602</v>
      </c>
      <c r="F14" s="123">
        <f>'Regional flood frequency analys'!F57</f>
        <v>411.89477557806498</v>
      </c>
      <c r="G14" s="123">
        <f>'Regional flood frequency analys'!G57</f>
        <v>494.06267806392066</v>
      </c>
      <c r="H14" s="123">
        <f>'Regional flood frequency analys'!H57</f>
        <v>600.42059952359978</v>
      </c>
      <c r="I14" s="123">
        <f>'Regional flood frequency analys'!I57</f>
        <v>680.12089483479087</v>
      </c>
      <c r="J14" s="123">
        <f>'Regional flood frequency analys'!J57</f>
        <v>759.53037715622099</v>
      </c>
      <c r="K14" s="123">
        <f>'Regional flood frequency analys'!K57</f>
        <v>864.29611042828151</v>
      </c>
      <c r="L14" s="123">
        <f>'Regional flood frequency analys'!L57</f>
        <v>943.47556929368886</v>
      </c>
      <c r="M14" s="123">
        <f>'Regional flood frequency analys'!M57</f>
        <v>1127.2375727637177</v>
      </c>
      <c r="N14" s="123">
        <f>'Regional flood frequency analys'!N57</f>
        <v>1206.365593683664</v>
      </c>
    </row>
    <row r="15" spans="1:14" ht="17.25" x14ac:dyDescent="0.3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246"/>
    </row>
    <row r="16" spans="1:14" ht="17.25" x14ac:dyDescent="0.3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246"/>
    </row>
    <row r="17" spans="1:13" ht="17.25" x14ac:dyDescent="0.35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246"/>
    </row>
    <row r="18" spans="1:13" ht="17.25" x14ac:dyDescent="0.35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246"/>
    </row>
    <row r="19" spans="1:13" ht="17.25" x14ac:dyDescent="0.35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246"/>
    </row>
    <row r="20" spans="1:13" ht="17.25" x14ac:dyDescent="0.35">
      <c r="A20" s="127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246"/>
    </row>
    <row r="21" spans="1:13" ht="17.25" x14ac:dyDescent="0.35">
      <c r="A21" s="127"/>
      <c r="B21" s="118"/>
      <c r="C21" s="117"/>
      <c r="D21" s="104"/>
      <c r="E21" s="117"/>
      <c r="F21" s="117"/>
      <c r="G21" s="117"/>
      <c r="H21" s="117"/>
      <c r="I21" s="117"/>
      <c r="J21" s="117"/>
      <c r="K21" s="117"/>
      <c r="L21" s="117"/>
      <c r="M21" s="246"/>
    </row>
    <row r="22" spans="1:13" ht="17.25" x14ac:dyDescent="0.35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246"/>
    </row>
    <row r="23" spans="1:13" ht="17.25" x14ac:dyDescent="0.35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246"/>
    </row>
    <row r="24" spans="1:13" ht="17.25" x14ac:dyDescent="0.3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246"/>
    </row>
    <row r="25" spans="1:13" ht="17.25" x14ac:dyDescent="0.3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246"/>
    </row>
    <row r="26" spans="1:13" ht="17.25" x14ac:dyDescent="0.35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246"/>
    </row>
    <row r="27" spans="1:13" ht="17.25" x14ac:dyDescent="0.35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11"/>
      <c r="M27" s="246"/>
    </row>
    <row r="28" spans="1:13" ht="17.25" x14ac:dyDescent="0.35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11"/>
      <c r="M28" s="246"/>
    </row>
    <row r="29" spans="1:13" ht="17.25" x14ac:dyDescent="0.35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11"/>
      <c r="M29" s="246"/>
    </row>
    <row r="30" spans="1:13" x14ac:dyDescent="0.3">
      <c r="A30" s="246"/>
      <c r="B30" s="247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6"/>
    </row>
    <row r="31" spans="1:13" x14ac:dyDescent="0.3">
      <c r="A31" s="246"/>
      <c r="B31" s="247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6"/>
    </row>
    <row r="32" spans="1:13" x14ac:dyDescent="0.3">
      <c r="A32" s="244" t="str">
        <f>'Regional flood frequency analys'!A76</f>
        <v>2) Hinwa (602.5)</v>
      </c>
      <c r="L32" s="245"/>
      <c r="M32" s="245"/>
    </row>
    <row r="33" spans="1:14" x14ac:dyDescent="0.3">
      <c r="L33" s="245"/>
      <c r="M33" s="245"/>
    </row>
    <row r="34" spans="1:14" ht="17.25" x14ac:dyDescent="0.35">
      <c r="A34" s="328" t="s">
        <v>0</v>
      </c>
      <c r="B34" s="351" t="s">
        <v>1</v>
      </c>
      <c r="C34" s="351"/>
      <c r="D34" s="351"/>
      <c r="E34" s="351"/>
      <c r="F34" s="351"/>
      <c r="G34" s="351"/>
      <c r="H34" s="351"/>
      <c r="I34" s="351"/>
      <c r="J34" s="351"/>
      <c r="K34" s="351"/>
      <c r="L34" s="351"/>
      <c r="M34" s="351"/>
      <c r="N34" s="351"/>
    </row>
    <row r="35" spans="1:14" ht="17.25" x14ac:dyDescent="0.35">
      <c r="A35" s="329"/>
      <c r="B35" s="281">
        <f>+B11</f>
        <v>1</v>
      </c>
      <c r="C35" s="281">
        <f t="shared" ref="C35:L35" si="0">+C11</f>
        <v>2</v>
      </c>
      <c r="D35" s="281">
        <f t="shared" si="0"/>
        <v>2.33</v>
      </c>
      <c r="E35" s="281">
        <f t="shared" si="0"/>
        <v>5</v>
      </c>
      <c r="F35" s="281">
        <f t="shared" si="0"/>
        <v>10</v>
      </c>
      <c r="G35" s="281">
        <f t="shared" si="0"/>
        <v>20</v>
      </c>
      <c r="H35" s="281">
        <f t="shared" si="0"/>
        <v>50</v>
      </c>
      <c r="I35" s="281">
        <f t="shared" si="0"/>
        <v>100</v>
      </c>
      <c r="J35" s="281">
        <f t="shared" si="0"/>
        <v>200</v>
      </c>
      <c r="K35" s="281">
        <f t="shared" si="0"/>
        <v>500</v>
      </c>
      <c r="L35" s="281">
        <f t="shared" si="0"/>
        <v>1000</v>
      </c>
      <c r="M35" s="281">
        <v>5000</v>
      </c>
      <c r="N35" s="281">
        <v>10000</v>
      </c>
    </row>
    <row r="36" spans="1:14" ht="17.25" x14ac:dyDescent="0.35">
      <c r="A36" s="115" t="s">
        <v>213</v>
      </c>
      <c r="B36" s="314">
        <f>'Regional flood frequency analys'!B80</f>
        <v>15.951153579774674</v>
      </c>
      <c r="C36" s="314">
        <f>'Regional flood frequency analys'!C80</f>
        <v>42.577130397333633</v>
      </c>
      <c r="D36" s="314">
        <f>'Regional flood frequency analys'!D80</f>
        <v>45.641971161295515</v>
      </c>
      <c r="E36" s="314">
        <f>'Regional flood frequency analys'!E80</f>
        <v>59.129413881409512</v>
      </c>
      <c r="F36" s="314">
        <f>'Regional flood frequency analys'!F80</f>
        <v>70.214963872933595</v>
      </c>
      <c r="G36" s="314">
        <f>'Regional flood frequency analys'!G80</f>
        <v>80.917029594133382</v>
      </c>
      <c r="H36" s="314">
        <f>'Regional flood frequency analys'!H80</f>
        <v>94.920812244672803</v>
      </c>
      <c r="I36" s="314">
        <f>'Regional flood frequency analys'!I80</f>
        <v>105.57631447132336</v>
      </c>
      <c r="J36" s="314">
        <f>'Regional flood frequency analys'!J80</f>
        <v>116.37194637625507</v>
      </c>
      <c r="K36" s="314">
        <f>'Regional flood frequency analys'!K80</f>
        <v>130.94319439345239</v>
      </c>
      <c r="L36" s="314">
        <f>'Regional flood frequency analys'!L80</f>
        <v>142.23928486266499</v>
      </c>
      <c r="M36" s="314">
        <f>'Regional flood frequency analys'!M80</f>
        <v>169.53026550489457</v>
      </c>
      <c r="N36" s="314">
        <f>'Regional flood frequency analys'!N80</f>
        <v>181.78886327982059</v>
      </c>
    </row>
    <row r="37" spans="1:14" ht="17.25" x14ac:dyDescent="0.35">
      <c r="A37" s="115" t="s">
        <v>214</v>
      </c>
      <c r="B37" s="314">
        <f>'Regional flood frequency analys'!B81</f>
        <v>12.825804868029152</v>
      </c>
      <c r="C37" s="314">
        <f>'Regional flood frequency analys'!C81</f>
        <v>44.344889420037198</v>
      </c>
      <c r="D37" s="314">
        <f>'Regional flood frequency analys'!D81</f>
        <v>47.403206648033475</v>
      </c>
      <c r="E37" s="314">
        <f>'Regional flood frequency analys'!E81</f>
        <v>59.4543501119458</v>
      </c>
      <c r="F37" s="314">
        <f>'Regional flood frequency analys'!F81</f>
        <v>67.856742666381422</v>
      </c>
      <c r="G37" s="314">
        <f>'Regional flood frequency analys'!G81</f>
        <v>74.906371941649638</v>
      </c>
      <c r="H37" s="314">
        <f>'Regional flood frequency analys'!H81</f>
        <v>82.836814689646829</v>
      </c>
      <c r="I37" s="314">
        <f>'Regional flood frequency analys'!I81</f>
        <v>88.059088017740635</v>
      </c>
      <c r="J37" s="314">
        <f>'Regional flood frequency analys'!J81</f>
        <v>92.755247904493885</v>
      </c>
      <c r="K37" s="314">
        <f>'Regional flood frequency analys'!K81</f>
        <v>98.298929341233631</v>
      </c>
      <c r="L37" s="314">
        <f>'Regional flood frequency analys'!L81</f>
        <v>102.06810674481247</v>
      </c>
      <c r="M37" s="314">
        <f>'Regional flood frequency analys'!M81</f>
        <v>109.66579975735466</v>
      </c>
      <c r="N37" s="314">
        <f>'Regional flood frequency analys'!N81</f>
        <v>112.51686246532758</v>
      </c>
    </row>
    <row r="38" spans="1:14" ht="15.75" customHeight="1" x14ac:dyDescent="0.35">
      <c r="A38" s="120" t="s">
        <v>215</v>
      </c>
      <c r="B38" s="122" t="str">
        <f>'Regional flood frequency analys'!B82</f>
        <v>-</v>
      </c>
      <c r="C38" s="122">
        <f>'Regional flood frequency analys'!C82</f>
        <v>42.938933036017502</v>
      </c>
      <c r="D38" s="122">
        <f>'Regional flood frequency analys'!D82</f>
        <v>45.59637317870736</v>
      </c>
      <c r="E38" s="122">
        <f>'Regional flood frequency analys'!E82</f>
        <v>57.141498143601538</v>
      </c>
      <c r="F38" s="122">
        <f>'Regional flood frequency analys'!F82</f>
        <v>66.544832050788926</v>
      </c>
      <c r="G38" s="122">
        <f>'Regional flood frequency analys'!G82</f>
        <v>75.564735694963105</v>
      </c>
      <c r="H38" s="122">
        <f>'Regional flood frequency analys'!H82</f>
        <v>87.240075752792762</v>
      </c>
      <c r="I38" s="122">
        <f>'Regional flood frequency analys'!I82</f>
        <v>95.98910015733955</v>
      </c>
      <c r="J38" s="122">
        <f>'Regional flood frequency analys'!J82</f>
        <v>104.70620084147045</v>
      </c>
      <c r="K38" s="122">
        <f>'Regional flood frequency analys'!K82</f>
        <v>116.20675994954684</v>
      </c>
      <c r="L38" s="122">
        <f>'Regional flood frequency analys'!L82</f>
        <v>124.89861002673202</v>
      </c>
      <c r="M38" s="122">
        <f>'Regional flood frequency analys'!M82</f>
        <v>145.07090984959029</v>
      </c>
      <c r="N38" s="122">
        <f>'Regional flood frequency analys'!N82</f>
        <v>153.75711337504814</v>
      </c>
    </row>
    <row r="39" spans="1:14" x14ac:dyDescent="0.3">
      <c r="A39" s="246"/>
      <c r="L39" s="247"/>
      <c r="M39" s="245"/>
    </row>
    <row r="40" spans="1:14" x14ac:dyDescent="0.3">
      <c r="M40" s="245"/>
    </row>
    <row r="41" spans="1:14" x14ac:dyDescent="0.3">
      <c r="L41" s="248"/>
      <c r="M41" s="245"/>
    </row>
    <row r="42" spans="1:14" x14ac:dyDescent="0.3">
      <c r="L42" s="248"/>
      <c r="M42" s="245"/>
    </row>
    <row r="43" spans="1:14" x14ac:dyDescent="0.3">
      <c r="A43" s="249"/>
      <c r="B43" s="245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45"/>
    </row>
    <row r="44" spans="1:14" x14ac:dyDescent="0.3">
      <c r="A44" s="249"/>
      <c r="B44" s="245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45"/>
    </row>
    <row r="56" spans="1:14" x14ac:dyDescent="0.3">
      <c r="A56" s="244" t="str">
        <f>'Regional flood frequency analys'!A99</f>
        <v>3) Arun River at Turkeghat (604.5)</v>
      </c>
      <c r="L56" s="245"/>
      <c r="M56" s="245"/>
    </row>
    <row r="57" spans="1:14" x14ac:dyDescent="0.3">
      <c r="L57" s="245"/>
      <c r="M57" s="245"/>
    </row>
    <row r="58" spans="1:14" ht="17.25" x14ac:dyDescent="0.35">
      <c r="A58" s="328" t="s">
        <v>0</v>
      </c>
      <c r="B58" s="351" t="s">
        <v>1</v>
      </c>
      <c r="C58" s="351"/>
      <c r="D58" s="351"/>
      <c r="E58" s="351"/>
      <c r="F58" s="351"/>
      <c r="G58" s="351"/>
      <c r="H58" s="351"/>
      <c r="I58" s="351"/>
      <c r="J58" s="351"/>
      <c r="K58" s="351"/>
      <c r="L58" s="351"/>
      <c r="M58" s="351"/>
      <c r="N58" s="351"/>
    </row>
    <row r="59" spans="1:14" ht="17.25" x14ac:dyDescent="0.35">
      <c r="A59" s="329"/>
      <c r="B59" s="281">
        <f>+B35</f>
        <v>1</v>
      </c>
      <c r="C59" s="281">
        <f t="shared" ref="C59:L59" si="1">+C35</f>
        <v>2</v>
      </c>
      <c r="D59" s="281">
        <f t="shared" si="1"/>
        <v>2.33</v>
      </c>
      <c r="E59" s="281">
        <f t="shared" si="1"/>
        <v>5</v>
      </c>
      <c r="F59" s="281">
        <f t="shared" si="1"/>
        <v>10</v>
      </c>
      <c r="G59" s="281">
        <f t="shared" si="1"/>
        <v>20</v>
      </c>
      <c r="H59" s="281">
        <f t="shared" si="1"/>
        <v>50</v>
      </c>
      <c r="I59" s="281">
        <f t="shared" si="1"/>
        <v>100</v>
      </c>
      <c r="J59" s="281">
        <f t="shared" si="1"/>
        <v>200</v>
      </c>
      <c r="K59" s="281">
        <f t="shared" si="1"/>
        <v>500</v>
      </c>
      <c r="L59" s="281">
        <f t="shared" si="1"/>
        <v>1000</v>
      </c>
      <c r="M59" s="281">
        <v>5000</v>
      </c>
      <c r="N59" s="281">
        <v>10000</v>
      </c>
    </row>
    <row r="60" spans="1:14" ht="17.25" x14ac:dyDescent="0.35">
      <c r="A60" s="115" t="s">
        <v>213</v>
      </c>
      <c r="B60" s="310">
        <f>'Regional flood frequency analys'!B103</f>
        <v>1264.0411211807627</v>
      </c>
      <c r="C60" s="310">
        <f>'Regional flood frequency analys'!C103</f>
        <v>2843.0881875132391</v>
      </c>
      <c r="D60" s="310">
        <f>'Regional flood frequency analys'!D103</f>
        <v>3011.0224291771879</v>
      </c>
      <c r="E60" s="310">
        <f>'Regional flood frequency analys'!E103</f>
        <v>3728.5968585209721</v>
      </c>
      <c r="F60" s="310">
        <f>'Regional flood frequency analys'!F103</f>
        <v>4296.925608290333</v>
      </c>
      <c r="G60" s="310">
        <f>'Regional flood frequency analys'!G103</f>
        <v>4830.8568187083038</v>
      </c>
      <c r="H60" s="310">
        <f>'Regional flood frequency analys'!H103</f>
        <v>5511.3377307575402</v>
      </c>
      <c r="I60" s="310">
        <f>'Regional flood frequency analys'!I103</f>
        <v>6017.3405872898466</v>
      </c>
      <c r="J60" s="310">
        <f>'Regional flood frequency analys'!J103</f>
        <v>6520.9830150438675</v>
      </c>
      <c r="K60" s="310">
        <f>'Regional flood frequency analys'!K103</f>
        <v>7188.083843681321</v>
      </c>
      <c r="L60" s="310">
        <f>'Regional flood frequency analys'!L103</f>
        <v>7696.3169096009533</v>
      </c>
      <c r="M60" s="310">
        <f>'Regional flood frequency analys'!M103</f>
        <v>8896.4682934901903</v>
      </c>
      <c r="N60" s="310">
        <f>'Regional flood frequency analys'!N103</f>
        <v>9424.3259575007178</v>
      </c>
    </row>
    <row r="61" spans="1:14" ht="17.25" x14ac:dyDescent="0.35">
      <c r="A61" s="115" t="s">
        <v>214</v>
      </c>
      <c r="B61" s="310">
        <f>'Regional flood frequency analys'!B104</f>
        <v>1374.5939705101855</v>
      </c>
      <c r="C61" s="310">
        <f>'Regional flood frequency analys'!C104</f>
        <v>2798.584155022234</v>
      </c>
      <c r="D61" s="310">
        <f>'Regional flood frequency analys'!D104</f>
        <v>2964.5585453983908</v>
      </c>
      <c r="E61" s="310">
        <f>'Regional flood frequency analys'!E104</f>
        <v>3707.1927614848119</v>
      </c>
      <c r="F61" s="310">
        <f>'Regional flood frequency analys'!F104</f>
        <v>4334.4680606506599</v>
      </c>
      <c r="G61" s="310">
        <f>'Regional flood frequency analys'!G104</f>
        <v>4955.7672728051257</v>
      </c>
      <c r="H61" s="310">
        <f>'Regional flood frequency analys'!H104</f>
        <v>5793.0706203962409</v>
      </c>
      <c r="I61" s="310">
        <f>'Regional flood frequency analys'!I104</f>
        <v>6449.0721459088163</v>
      </c>
      <c r="J61" s="310">
        <f>'Regional flood frequency analys'!J104</f>
        <v>7130.5653035371224</v>
      </c>
      <c r="K61" s="310">
        <f>'Regional flood frequency analys'!K104</f>
        <v>8077.4973906914993</v>
      </c>
      <c r="L61" s="310">
        <f>'Regional flood frequency analys'!L104</f>
        <v>8833.080041107647</v>
      </c>
      <c r="M61" s="310">
        <f>'Regional flood frequency analys'!M104</f>
        <v>10736.078061451466</v>
      </c>
      <c r="N61" s="310">
        <f>'Regional flood frequency analys'!N104</f>
        <v>11626.531655402445</v>
      </c>
    </row>
    <row r="62" spans="1:14" ht="17.25" x14ac:dyDescent="0.35">
      <c r="A62" s="120" t="s">
        <v>215</v>
      </c>
      <c r="B62" s="315" t="str">
        <f>'Regional flood frequency analys'!B105</f>
        <v>-</v>
      </c>
      <c r="C62" s="315">
        <f>'Regional flood frequency analys'!C105</f>
        <v>2825.3623019180159</v>
      </c>
      <c r="D62" s="315">
        <f>'Regional flood frequency analys'!D105</f>
        <v>2995.3354945597016</v>
      </c>
      <c r="E62" s="315">
        <f>'Regional flood frequency analys'!E105</f>
        <v>3733.7761157448676</v>
      </c>
      <c r="F62" s="315">
        <f>'Regional flood frequency analys'!F105</f>
        <v>4335.2251041923164</v>
      </c>
      <c r="G62" s="315">
        <f>'Regional flood frequency analys'!G105</f>
        <v>4912.1494138284379</v>
      </c>
      <c r="H62" s="315">
        <f>'Regional flood frequency analys'!H105</f>
        <v>5658.9187550930619</v>
      </c>
      <c r="I62" s="315">
        <f>'Regional flood frequency analys'!I105</f>
        <v>6218.5172900333837</v>
      </c>
      <c r="J62" s="315">
        <f>'Regional flood frequency analys'!J105</f>
        <v>6776.0739439194822</v>
      </c>
      <c r="K62" s="315">
        <f>'Regional flood frequency analys'!K105</f>
        <v>7511.6640772067476</v>
      </c>
      <c r="L62" s="315">
        <f>'Regional flood frequency analys'!L105</f>
        <v>8067.6056707158459</v>
      </c>
      <c r="M62" s="315">
        <f>'Regional flood frequency analys'!M105</f>
        <v>9357.851177561377</v>
      </c>
      <c r="N62" s="315">
        <f>'Regional flood frequency analys'!N105</f>
        <v>9913.4316105652633</v>
      </c>
    </row>
    <row r="63" spans="1:14" x14ac:dyDescent="0.3">
      <c r="A63" s="246"/>
      <c r="L63" s="247"/>
      <c r="M63" s="245"/>
    </row>
    <row r="64" spans="1:14" x14ac:dyDescent="0.3">
      <c r="M64" s="245"/>
    </row>
    <row r="65" spans="1:13" x14ac:dyDescent="0.3">
      <c r="L65" s="248"/>
      <c r="M65" s="245"/>
    </row>
    <row r="66" spans="1:13" x14ac:dyDescent="0.3">
      <c r="L66" s="248"/>
      <c r="M66" s="245"/>
    </row>
    <row r="67" spans="1:13" x14ac:dyDescent="0.3">
      <c r="A67" s="249"/>
      <c r="B67" s="245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45"/>
    </row>
    <row r="68" spans="1:13" x14ac:dyDescent="0.3">
      <c r="A68" s="249"/>
      <c r="B68" s="245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45"/>
    </row>
    <row r="79" spans="1:13" x14ac:dyDescent="0.3">
      <c r="A79" s="244" t="s">
        <v>321</v>
      </c>
      <c r="L79" s="245"/>
      <c r="M79" s="245"/>
    </row>
    <row r="80" spans="1:13" x14ac:dyDescent="0.3">
      <c r="L80" s="245"/>
      <c r="M80" s="245"/>
    </row>
    <row r="81" spans="1:14" ht="17.25" x14ac:dyDescent="0.35">
      <c r="A81" s="328" t="s">
        <v>0</v>
      </c>
      <c r="B81" s="351" t="s">
        <v>1</v>
      </c>
      <c r="C81" s="351"/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</row>
    <row r="82" spans="1:14" ht="17.25" x14ac:dyDescent="0.35">
      <c r="A82" s="329"/>
      <c r="B82" s="281">
        <f>B59</f>
        <v>1</v>
      </c>
      <c r="C82" s="281">
        <f t="shared" ref="C82:N82" si="2">C59</f>
        <v>2</v>
      </c>
      <c r="D82" s="281">
        <f t="shared" si="2"/>
        <v>2.33</v>
      </c>
      <c r="E82" s="281">
        <f t="shared" si="2"/>
        <v>5</v>
      </c>
      <c r="F82" s="281">
        <f t="shared" si="2"/>
        <v>10</v>
      </c>
      <c r="G82" s="281">
        <f t="shared" si="2"/>
        <v>20</v>
      </c>
      <c r="H82" s="281">
        <f t="shared" si="2"/>
        <v>50</v>
      </c>
      <c r="I82" s="281">
        <f t="shared" si="2"/>
        <v>100</v>
      </c>
      <c r="J82" s="281">
        <f t="shared" si="2"/>
        <v>200</v>
      </c>
      <c r="K82" s="281">
        <f t="shared" si="2"/>
        <v>500</v>
      </c>
      <c r="L82" s="281">
        <f t="shared" si="2"/>
        <v>1000</v>
      </c>
      <c r="M82" s="281">
        <f t="shared" si="2"/>
        <v>5000</v>
      </c>
      <c r="N82" s="281">
        <f t="shared" si="2"/>
        <v>10000</v>
      </c>
    </row>
    <row r="83" spans="1:14" ht="17.25" x14ac:dyDescent="0.35">
      <c r="A83" s="115" t="s">
        <v>213</v>
      </c>
      <c r="B83" s="310">
        <f t="array" ref="B83:N83">TRANSPOSE('Melamchi (627.5)'!F70:F82)</f>
        <v>26.241629577476143</v>
      </c>
      <c r="C83" s="310">
        <v>49.727969884204093</v>
      </c>
      <c r="D83" s="310">
        <v>52.030201841256925</v>
      </c>
      <c r="E83" s="310">
        <v>61.583209563259658</v>
      </c>
      <c r="F83" s="310">
        <v>68.873129984521455</v>
      </c>
      <c r="G83" s="310">
        <v>75.537563742863313</v>
      </c>
      <c r="H83" s="310">
        <v>83.810178839132149</v>
      </c>
      <c r="I83" s="310">
        <v>89.821419413432537</v>
      </c>
      <c r="J83" s="310">
        <v>95.699289499504658</v>
      </c>
      <c r="K83" s="310">
        <v>103.33953804488441</v>
      </c>
      <c r="L83" s="310">
        <v>109.05965162516378</v>
      </c>
      <c r="M83" s="310">
        <v>122.26280681914945</v>
      </c>
      <c r="N83" s="310">
        <v>127.94847172775778</v>
      </c>
    </row>
    <row r="84" spans="1:14" ht="17.25" x14ac:dyDescent="0.35">
      <c r="A84" s="115" t="s">
        <v>214</v>
      </c>
      <c r="B84" s="310">
        <f t="array" ref="B84:N84">TRANSPOSE('Melamchi (627.5)'!I70:I82)</f>
        <v>28.016822201310184</v>
      </c>
      <c r="C84" s="310">
        <v>49.129496557598394</v>
      </c>
      <c r="D84" s="310">
        <v>51.413193982860918</v>
      </c>
      <c r="E84" s="310">
        <v>61.319278246479961</v>
      </c>
      <c r="F84" s="310">
        <v>69.354383262866392</v>
      </c>
      <c r="G84" s="310">
        <v>77.068577989301232</v>
      </c>
      <c r="H84" s="310">
        <v>87.143484225407931</v>
      </c>
      <c r="I84" s="310">
        <v>94.817254701008039</v>
      </c>
      <c r="J84" s="310">
        <v>102.61259557600434</v>
      </c>
      <c r="K84" s="310">
        <v>113.18302700682553</v>
      </c>
      <c r="L84" s="310">
        <v>121.4255491988377</v>
      </c>
      <c r="M84" s="310">
        <v>141.54640423289902</v>
      </c>
      <c r="N84" s="310">
        <v>150.69030876767206</v>
      </c>
    </row>
    <row r="85" spans="1:14" ht="17.25" x14ac:dyDescent="0.35">
      <c r="A85" s="120" t="s">
        <v>215</v>
      </c>
      <c r="B85" s="315" t="str">
        <f>'Regional flood frequency analys'!B128</f>
        <v>-</v>
      </c>
      <c r="C85" s="315">
        <f t="array" ref="C85:N85">TRANSPOSE('Melamchi (627.5)'!K71:K82)</f>
        <v>49.078096158744295</v>
      </c>
      <c r="D85" s="315">
        <v>51.28989837008065</v>
      </c>
      <c r="E85" s="315">
        <v>60.8989700918845</v>
      </c>
      <c r="F85" s="315">
        <v>68.725417203802962</v>
      </c>
      <c r="G85" s="315">
        <v>76.232733175191768</v>
      </c>
      <c r="H85" s="315">
        <v>85.950183643096949</v>
      </c>
      <c r="I85" s="315">
        <v>93.232045316724395</v>
      </c>
      <c r="J85" s="315">
        <v>100.48733670029125</v>
      </c>
      <c r="K85" s="315">
        <v>110.05931601159216</v>
      </c>
      <c r="L85" s="315">
        <v>117.29359117455522</v>
      </c>
      <c r="M85" s="315">
        <v>134.08310851464344</v>
      </c>
      <c r="N85" s="315">
        <v>141.31268402119795</v>
      </c>
    </row>
    <row r="86" spans="1:14" x14ac:dyDescent="0.3">
      <c r="A86" s="246"/>
      <c r="L86" s="247"/>
      <c r="M86" s="245"/>
    </row>
    <row r="87" spans="1:14" x14ac:dyDescent="0.3">
      <c r="M87" s="245"/>
    </row>
    <row r="88" spans="1:14" x14ac:dyDescent="0.3">
      <c r="L88" s="248"/>
      <c r="M88" s="245"/>
    </row>
    <row r="89" spans="1:14" x14ac:dyDescent="0.3">
      <c r="L89" s="248"/>
      <c r="M89" s="245"/>
    </row>
    <row r="90" spans="1:14" x14ac:dyDescent="0.3">
      <c r="A90" s="249"/>
      <c r="B90" s="245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45"/>
    </row>
    <row r="91" spans="1:14" x14ac:dyDescent="0.3">
      <c r="A91" s="249"/>
      <c r="B91" s="245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45"/>
    </row>
    <row r="107" spans="1:21" ht="17.25" x14ac:dyDescent="0.35">
      <c r="A107" s="252" t="s">
        <v>271</v>
      </c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13"/>
    </row>
    <row r="108" spans="1:21" ht="17.25" x14ac:dyDescent="0.35">
      <c r="A108" s="253"/>
      <c r="B108" s="253"/>
      <c r="C108" s="253"/>
      <c r="D108" s="253"/>
      <c r="E108" s="253"/>
      <c r="F108" s="253"/>
      <c r="G108" s="253"/>
      <c r="H108" s="253"/>
      <c r="I108" s="254"/>
      <c r="J108" s="255"/>
      <c r="K108" s="253"/>
      <c r="L108" s="213"/>
    </row>
    <row r="109" spans="1:21" ht="17.25" x14ac:dyDescent="0.35">
      <c r="A109" s="253"/>
      <c r="B109" s="254" t="s">
        <v>64</v>
      </c>
      <c r="C109" s="255"/>
      <c r="D109" s="253"/>
      <c r="E109" s="253"/>
      <c r="F109" s="253"/>
      <c r="G109" s="253"/>
      <c r="H109" s="253"/>
      <c r="I109" s="254"/>
      <c r="J109" s="254"/>
      <c r="K109" s="253"/>
      <c r="L109" s="213"/>
      <c r="T109" s="269"/>
      <c r="U109" s="269"/>
    </row>
    <row r="110" spans="1:21" ht="18.75" x14ac:dyDescent="0.35">
      <c r="A110" s="253" t="s">
        <v>250</v>
      </c>
      <c r="B110" s="256">
        <f>'Station Details'!H7</f>
        <v>148.13999999999999</v>
      </c>
      <c r="C110" s="254" t="s">
        <v>103</v>
      </c>
      <c r="D110" s="253"/>
      <c r="E110" s="253"/>
      <c r="G110" s="253"/>
      <c r="H110" s="253"/>
      <c r="I110" s="254"/>
      <c r="J110" s="254"/>
      <c r="K110" s="253"/>
      <c r="L110" s="213"/>
      <c r="T110" s="269"/>
      <c r="U110" s="269"/>
    </row>
    <row r="111" spans="1:21" ht="18.75" x14ac:dyDescent="0.35">
      <c r="A111" s="253" t="s">
        <v>324</v>
      </c>
      <c r="B111" s="257">
        <v>0.4</v>
      </c>
      <c r="C111" s="254" t="s">
        <v>103</v>
      </c>
      <c r="D111" s="213"/>
      <c r="F111" s="253"/>
      <c r="G111" s="253"/>
      <c r="H111" s="253"/>
      <c r="I111" s="253"/>
      <c r="J111" s="253"/>
      <c r="K111" s="253"/>
      <c r="L111" s="213"/>
      <c r="T111" s="269"/>
      <c r="U111" s="269"/>
    </row>
    <row r="112" spans="1:21" ht="17.25" x14ac:dyDescent="0.35">
      <c r="A112" s="253" t="s">
        <v>216</v>
      </c>
      <c r="B112" s="270">
        <f>+($B$111/$B$110)^F112</f>
        <v>5.1962953227929119E-2</v>
      </c>
      <c r="C112" s="254"/>
      <c r="D112" s="253"/>
      <c r="E112" s="253" t="s">
        <v>323</v>
      </c>
      <c r="F112" s="253">
        <v>0.5</v>
      </c>
      <c r="G112" s="253"/>
      <c r="H112" s="253"/>
      <c r="I112" s="253"/>
      <c r="J112" s="253"/>
      <c r="K112" s="253"/>
      <c r="L112" s="213"/>
      <c r="T112" s="269"/>
      <c r="U112" s="269"/>
    </row>
    <row r="113" spans="1:21" ht="17.25" x14ac:dyDescent="0.35">
      <c r="A113" s="251" t="s">
        <v>0</v>
      </c>
      <c r="B113" s="351" t="s">
        <v>1</v>
      </c>
      <c r="C113" s="351"/>
      <c r="D113" s="351"/>
      <c r="E113" s="351"/>
      <c r="F113" s="351"/>
      <c r="G113" s="351"/>
      <c r="H113" s="351"/>
      <c r="I113" s="351"/>
      <c r="J113" s="351"/>
      <c r="K113" s="351"/>
      <c r="L113" s="351"/>
      <c r="M113" s="351"/>
      <c r="N113" s="351"/>
    </row>
    <row r="114" spans="1:21" ht="17.25" x14ac:dyDescent="0.35">
      <c r="B114" s="281">
        <f t="shared" ref="B114:L114" si="3">+B35</f>
        <v>1</v>
      </c>
      <c r="C114" s="281">
        <f t="shared" si="3"/>
        <v>2</v>
      </c>
      <c r="D114" s="281">
        <f t="shared" si="3"/>
        <v>2.33</v>
      </c>
      <c r="E114" s="281">
        <f t="shared" si="3"/>
        <v>5</v>
      </c>
      <c r="F114" s="281">
        <f t="shared" si="3"/>
        <v>10</v>
      </c>
      <c r="G114" s="281">
        <f t="shared" si="3"/>
        <v>20</v>
      </c>
      <c r="H114" s="281">
        <f t="shared" si="3"/>
        <v>50</v>
      </c>
      <c r="I114" s="281">
        <f t="shared" si="3"/>
        <v>100</v>
      </c>
      <c r="J114" s="281">
        <f t="shared" si="3"/>
        <v>200</v>
      </c>
      <c r="K114" s="281">
        <f t="shared" si="3"/>
        <v>500</v>
      </c>
      <c r="L114" s="281">
        <f t="shared" si="3"/>
        <v>1000</v>
      </c>
      <c r="M114" s="281">
        <v>5000</v>
      </c>
      <c r="N114" s="281">
        <v>10000</v>
      </c>
    </row>
    <row r="115" spans="1:21" ht="17.25" x14ac:dyDescent="0.35">
      <c r="A115" s="251" t="s">
        <v>223</v>
      </c>
      <c r="B115" s="279">
        <f t="shared" ref="B115:L115" si="4">1/B114</f>
        <v>1</v>
      </c>
      <c r="C115" s="279">
        <f t="shared" si="4"/>
        <v>0.5</v>
      </c>
      <c r="D115" s="279">
        <f t="shared" si="4"/>
        <v>0.42918454935622319</v>
      </c>
      <c r="E115" s="279">
        <f t="shared" si="4"/>
        <v>0.2</v>
      </c>
      <c r="F115" s="279">
        <f t="shared" si="4"/>
        <v>0.1</v>
      </c>
      <c r="G115" s="279">
        <f t="shared" si="4"/>
        <v>0.05</v>
      </c>
      <c r="H115" s="279">
        <f t="shared" si="4"/>
        <v>0.02</v>
      </c>
      <c r="I115" s="279">
        <f>1/I114</f>
        <v>0.01</v>
      </c>
      <c r="J115" s="279">
        <f t="shared" si="4"/>
        <v>5.0000000000000001E-3</v>
      </c>
      <c r="K115" s="279">
        <f t="shared" si="4"/>
        <v>2E-3</v>
      </c>
      <c r="L115" s="279">
        <f t="shared" si="4"/>
        <v>1E-3</v>
      </c>
      <c r="M115" s="279">
        <f t="shared" ref="M115:N115" si="5">1/M114</f>
        <v>2.0000000000000001E-4</v>
      </c>
      <c r="N115" s="279">
        <f t="shared" si="5"/>
        <v>1E-4</v>
      </c>
    </row>
    <row r="116" spans="1:21" ht="17.25" x14ac:dyDescent="0.35">
      <c r="A116" s="251" t="s">
        <v>213</v>
      </c>
      <c r="B116" s="292">
        <f>B36*$B$112</f>
        <v>0.82886904739734557</v>
      </c>
      <c r="C116" s="292">
        <f>C36*$B$112</f>
        <v>2.2124334354160866</v>
      </c>
      <c r="D116" s="292">
        <f>D36*$B$112</f>
        <v>2.3716916126848884</v>
      </c>
      <c r="E116" s="292">
        <f>E36*$B$112</f>
        <v>3.0725389679145452</v>
      </c>
      <c r="F116" s="292">
        <f>F36*$B$112</f>
        <v>3.6485768836299814</v>
      </c>
      <c r="G116" s="292">
        <f>G36*$B$112</f>
        <v>4.2046878241429093</v>
      </c>
      <c r="H116" s="292">
        <f>H36*$B$112</f>
        <v>4.9323657270269745</v>
      </c>
      <c r="I116" s="292">
        <f>I36*$B$112</f>
        <v>5.4860570908505117</v>
      </c>
      <c r="J116" s="292">
        <f>J36*$B$112</f>
        <v>6.0470300065924176</v>
      </c>
      <c r="K116" s="292">
        <f>K36*$B$112</f>
        <v>6.804195085782597</v>
      </c>
      <c r="L116" s="292">
        <f>L36*$B$112</f>
        <v>7.391173306492747</v>
      </c>
      <c r="M116" s="292">
        <f>M36*$B$112</f>
        <v>8.8092932571492426</v>
      </c>
      <c r="N116" s="292">
        <f>N36*$B$112</f>
        <v>9.4462861999677195</v>
      </c>
    </row>
    <row r="117" spans="1:21" ht="17.25" x14ac:dyDescent="0.35">
      <c r="A117" s="251" t="s">
        <v>214</v>
      </c>
      <c r="B117" s="292">
        <f>B37*$B$112</f>
        <v>0.66646669846794448</v>
      </c>
      <c r="C117" s="292">
        <f>C37*$B$112</f>
        <v>2.3042914148310816</v>
      </c>
      <c r="D117" s="292">
        <f>D37*$B$112</f>
        <v>2.4632106099056221</v>
      </c>
      <c r="E117" s="292">
        <f>E37*$B$112</f>
        <v>3.0894236140639619</v>
      </c>
      <c r="F117" s="292">
        <f>F37*$B$112</f>
        <v>3.5260367453727999</v>
      </c>
      <c r="G117" s="292">
        <f>G37*$B$112</f>
        <v>3.8923563016778022</v>
      </c>
      <c r="H117" s="292">
        <f>H37*$B$112</f>
        <v>4.3044455272687498</v>
      </c>
      <c r="I117" s="292">
        <f>I37*$B$112</f>
        <v>4.5758102719599503</v>
      </c>
      <c r="J117" s="292">
        <f>J37*$B$112</f>
        <v>4.8198366085061863</v>
      </c>
      <c r="K117" s="292">
        <f>K37*$B$112</f>
        <v>5.1079026677140327</v>
      </c>
      <c r="L117" s="292">
        <f>L37*$B$112</f>
        <v>5.303760256843967</v>
      </c>
      <c r="M117" s="292">
        <f>M37*$B$112</f>
        <v>5.698558823494861</v>
      </c>
      <c r="N117" s="292">
        <f>N37*$B$112</f>
        <v>5.8467084616391505</v>
      </c>
    </row>
    <row r="118" spans="1:21" ht="17.25" x14ac:dyDescent="0.35">
      <c r="A118" s="258" t="s">
        <v>215</v>
      </c>
      <c r="B118" s="315">
        <v>0</v>
      </c>
      <c r="C118" s="315">
        <f>C38*$B$112</f>
        <v>2.2312337690077579</v>
      </c>
      <c r="D118" s="315">
        <f>D38*$B$112</f>
        <v>2.3693222068483721</v>
      </c>
      <c r="E118" s="315">
        <f>E38*$B$112</f>
        <v>2.9692409954097654</v>
      </c>
      <c r="F118" s="315">
        <f>F38*$B$112</f>
        <v>3.4578659954155437</v>
      </c>
      <c r="G118" s="315">
        <f>G38*$B$112</f>
        <v>3.9265668265981937</v>
      </c>
      <c r="H118" s="315">
        <f>H38*$B$112</f>
        <v>4.5332519759433634</v>
      </c>
      <c r="I118" s="315">
        <f>I38*$B$112</f>
        <v>4.9878771218668385</v>
      </c>
      <c r="J118" s="315">
        <f>J38*$B$112</f>
        <v>5.4408434169994813</v>
      </c>
      <c r="K118" s="315">
        <f>K38*$B$112</f>
        <v>6.0384464320274889</v>
      </c>
      <c r="L118" s="315">
        <f>L38*$B$112</f>
        <v>6.4901006310524343</v>
      </c>
      <c r="M118" s="315">
        <f>M38*$B$112</f>
        <v>7.5383129032473821</v>
      </c>
      <c r="N118" s="315">
        <f>N38*$B$112</f>
        <v>7.9896736907690213</v>
      </c>
    </row>
    <row r="119" spans="1:21" x14ac:dyDescent="0.3">
      <c r="C119" s="215">
        <v>1</v>
      </c>
      <c r="D119" s="215">
        <v>2</v>
      </c>
      <c r="E119" s="215">
        <v>3</v>
      </c>
      <c r="F119" s="215">
        <v>4</v>
      </c>
      <c r="G119" s="215">
        <v>5</v>
      </c>
      <c r="H119" s="215">
        <v>6</v>
      </c>
      <c r="I119" s="215">
        <v>7</v>
      </c>
      <c r="J119" s="215">
        <v>8</v>
      </c>
      <c r="K119" s="215">
        <v>9</v>
      </c>
      <c r="L119" s="215">
        <v>10</v>
      </c>
      <c r="M119" s="215">
        <v>11</v>
      </c>
      <c r="N119" s="215">
        <v>12</v>
      </c>
    </row>
    <row r="120" spans="1:21" x14ac:dyDescent="0.3">
      <c r="T120" s="269"/>
      <c r="U120" s="269"/>
    </row>
    <row r="121" spans="1:21" ht="17.25" x14ac:dyDescent="0.35">
      <c r="A121" s="253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T121" s="269"/>
      <c r="U121" s="269"/>
    </row>
    <row r="122" spans="1:21" ht="17.25" x14ac:dyDescent="0.35">
      <c r="A122" s="253"/>
      <c r="B122" s="253"/>
      <c r="C122" s="253" t="str">
        <f t="array" ref="C122:E135">TRANSPOSE(A116:N118)</f>
        <v>Log normal (m3/s)</v>
      </c>
      <c r="D122" s="253" t="str">
        <v>Log Pearson III (m3/s)</v>
      </c>
      <c r="E122" s="253" t="str">
        <v>Gumbel (m3/s)</v>
      </c>
      <c r="F122" s="253"/>
      <c r="G122" s="253"/>
      <c r="H122" s="253"/>
      <c r="I122" s="253"/>
      <c r="J122" s="253"/>
      <c r="K122" s="253"/>
      <c r="L122" s="253"/>
      <c r="M122" s="253"/>
      <c r="N122" s="253"/>
      <c r="T122" s="269"/>
      <c r="U122" s="269"/>
    </row>
    <row r="123" spans="1:21" ht="17.25" x14ac:dyDescent="0.35">
      <c r="A123" s="253"/>
      <c r="B123" s="253">
        <f t="array" ref="B123:B135">TRANSPOSE(B114:N114)</f>
        <v>1</v>
      </c>
      <c r="C123" s="253">
        <v>0.82886904739734557</v>
      </c>
      <c r="D123" s="253">
        <v>0.66646669846794448</v>
      </c>
      <c r="E123" s="253">
        <v>0</v>
      </c>
      <c r="F123" s="253"/>
      <c r="G123" s="253">
        <v>1</v>
      </c>
      <c r="H123" s="387">
        <v>0.82886904739734557</v>
      </c>
      <c r="I123" s="387">
        <v>0.66646669846794448</v>
      </c>
      <c r="J123" s="253">
        <v>0</v>
      </c>
      <c r="K123" s="253"/>
      <c r="L123" s="253"/>
      <c r="M123" s="253"/>
      <c r="N123" s="253"/>
      <c r="T123" s="269"/>
      <c r="U123" s="269"/>
    </row>
    <row r="124" spans="1:21" ht="17.25" x14ac:dyDescent="0.35">
      <c r="A124" s="253"/>
      <c r="B124" s="253">
        <v>2</v>
      </c>
      <c r="C124" s="253">
        <v>2.2124334354160866</v>
      </c>
      <c r="D124" s="253">
        <v>2.3042914148310816</v>
      </c>
      <c r="E124" s="253">
        <v>2.2312337690077579</v>
      </c>
      <c r="F124" s="253"/>
      <c r="G124" s="253">
        <v>2</v>
      </c>
      <c r="H124" s="387">
        <v>2.2124334354160866</v>
      </c>
      <c r="I124" s="387">
        <v>2.3042914148310816</v>
      </c>
      <c r="J124" s="387">
        <v>2.2312337690077579</v>
      </c>
      <c r="K124" s="253"/>
      <c r="L124" s="253"/>
      <c r="M124" s="253"/>
      <c r="N124" s="253"/>
    </row>
    <row r="125" spans="1:21" ht="17.25" x14ac:dyDescent="0.35">
      <c r="A125" s="253"/>
      <c r="B125" s="253">
        <v>2.33</v>
      </c>
      <c r="C125" s="253">
        <v>2.3716916126848884</v>
      </c>
      <c r="D125" s="253">
        <v>2.4632106099056221</v>
      </c>
      <c r="E125" s="253">
        <v>2.3693222068483721</v>
      </c>
      <c r="F125" s="253"/>
      <c r="G125" s="253">
        <v>2.33</v>
      </c>
      <c r="H125" s="387">
        <v>2.3716916126848884</v>
      </c>
      <c r="I125" s="387">
        <v>2.4632106099056221</v>
      </c>
      <c r="J125" s="387">
        <v>2.3693222068483721</v>
      </c>
      <c r="K125" s="253"/>
      <c r="L125" s="253"/>
      <c r="M125" s="253"/>
      <c r="N125" s="253"/>
    </row>
    <row r="126" spans="1:21" ht="17.25" x14ac:dyDescent="0.35">
      <c r="A126" s="253"/>
      <c r="B126" s="253">
        <v>5</v>
      </c>
      <c r="C126" s="253">
        <v>3.0725389679145452</v>
      </c>
      <c r="D126" s="253">
        <v>3.0894236140639619</v>
      </c>
      <c r="E126" s="253">
        <v>2.9692409954097654</v>
      </c>
      <c r="F126" s="253"/>
      <c r="G126" s="253">
        <v>5</v>
      </c>
      <c r="H126" s="387">
        <v>3.0725389679145452</v>
      </c>
      <c r="I126" s="387">
        <v>3.0894236140639619</v>
      </c>
      <c r="J126" s="387">
        <v>2.9692409954097654</v>
      </c>
      <c r="K126" s="253"/>
      <c r="L126" s="253"/>
      <c r="M126" s="253"/>
      <c r="N126" s="253"/>
    </row>
    <row r="127" spans="1:21" ht="17.25" x14ac:dyDescent="0.35">
      <c r="A127" s="253"/>
      <c r="B127" s="253">
        <v>10</v>
      </c>
      <c r="C127" s="253">
        <v>3.6485768836299814</v>
      </c>
      <c r="D127" s="253">
        <v>3.5260367453727999</v>
      </c>
      <c r="E127" s="253">
        <v>3.4578659954155437</v>
      </c>
      <c r="F127" s="253"/>
      <c r="G127" s="253">
        <v>10</v>
      </c>
      <c r="H127" s="387">
        <v>3.6485768836299814</v>
      </c>
      <c r="I127" s="387">
        <v>3.5260367453727999</v>
      </c>
      <c r="J127" s="387">
        <v>3.4578659954155437</v>
      </c>
      <c r="K127" s="253"/>
      <c r="L127" s="253"/>
      <c r="M127" s="253"/>
      <c r="N127" s="253"/>
    </row>
    <row r="128" spans="1:21" ht="17.25" x14ac:dyDescent="0.35">
      <c r="A128" s="253"/>
      <c r="B128" s="253">
        <v>20</v>
      </c>
      <c r="C128" s="253">
        <v>4.2046878241429093</v>
      </c>
      <c r="D128" s="253">
        <v>3.8923563016778022</v>
      </c>
      <c r="E128" s="253">
        <v>3.9265668265981937</v>
      </c>
      <c r="F128" s="253"/>
      <c r="G128" s="253">
        <v>20</v>
      </c>
      <c r="H128" s="387">
        <v>4.2046878241429093</v>
      </c>
      <c r="I128" s="387">
        <v>3.8923563016778022</v>
      </c>
      <c r="J128" s="387">
        <v>3.9265668265981937</v>
      </c>
      <c r="K128" s="253"/>
      <c r="L128" s="253"/>
      <c r="M128" s="253"/>
      <c r="N128" s="253"/>
    </row>
    <row r="129" spans="1:14" ht="17.25" x14ac:dyDescent="0.35">
      <c r="A129" s="253"/>
      <c r="B129" s="253">
        <v>50</v>
      </c>
      <c r="C129" s="253">
        <v>4.9323657270269745</v>
      </c>
      <c r="D129" s="253">
        <v>4.3044455272687498</v>
      </c>
      <c r="E129" s="253">
        <v>4.5332519759433634</v>
      </c>
      <c r="F129" s="253"/>
      <c r="G129" s="253">
        <v>50</v>
      </c>
      <c r="H129" s="387">
        <v>4.9323657270269745</v>
      </c>
      <c r="I129" s="387">
        <v>4.3044455272687498</v>
      </c>
      <c r="J129" s="387">
        <v>4.5332519759433634</v>
      </c>
      <c r="K129" s="253"/>
      <c r="L129" s="253"/>
      <c r="M129" s="253"/>
      <c r="N129" s="253"/>
    </row>
    <row r="130" spans="1:14" ht="17.25" x14ac:dyDescent="0.35">
      <c r="A130" s="253"/>
      <c r="B130" s="253">
        <v>100</v>
      </c>
      <c r="C130" s="253">
        <v>5.4860570908505117</v>
      </c>
      <c r="D130" s="253">
        <v>4.5758102719599503</v>
      </c>
      <c r="E130" s="253">
        <v>4.9878771218668385</v>
      </c>
      <c r="F130" s="253"/>
      <c r="G130" s="253">
        <v>100</v>
      </c>
      <c r="H130" s="387">
        <v>5.4860570908505117</v>
      </c>
      <c r="I130" s="387">
        <v>4.5758102719599503</v>
      </c>
      <c r="J130" s="387">
        <v>4.9878771218668385</v>
      </c>
      <c r="K130" s="253"/>
      <c r="L130" s="253"/>
      <c r="M130" s="253"/>
      <c r="N130" s="253"/>
    </row>
    <row r="131" spans="1:14" ht="17.25" x14ac:dyDescent="0.35">
      <c r="A131" s="253"/>
      <c r="B131" s="253">
        <v>200</v>
      </c>
      <c r="C131" s="253">
        <v>6.0470300065924176</v>
      </c>
      <c r="D131" s="253">
        <v>4.8198366085061863</v>
      </c>
      <c r="E131" s="253">
        <v>5.4408434169994813</v>
      </c>
      <c r="F131" s="253"/>
      <c r="G131" s="253">
        <v>200</v>
      </c>
      <c r="H131" s="387">
        <v>6.0470300065924176</v>
      </c>
      <c r="I131" s="387">
        <v>4.8198366085061863</v>
      </c>
      <c r="J131" s="387">
        <v>5.4408434169994813</v>
      </c>
      <c r="K131" s="253"/>
      <c r="L131" s="253"/>
      <c r="M131" s="253"/>
      <c r="N131" s="253"/>
    </row>
    <row r="132" spans="1:14" ht="17.25" x14ac:dyDescent="0.35">
      <c r="A132" s="253"/>
      <c r="B132" s="253">
        <v>500</v>
      </c>
      <c r="C132" s="253">
        <v>6.804195085782597</v>
      </c>
      <c r="D132" s="253">
        <v>5.1079026677140327</v>
      </c>
      <c r="E132" s="253">
        <v>6.0384464320274889</v>
      </c>
      <c r="F132" s="253"/>
      <c r="G132" s="253">
        <v>500</v>
      </c>
      <c r="H132" s="387">
        <v>6.804195085782597</v>
      </c>
      <c r="I132" s="387">
        <v>5.1079026677140327</v>
      </c>
      <c r="J132" s="387">
        <v>6.0384464320274889</v>
      </c>
      <c r="K132" s="253"/>
      <c r="L132" s="253"/>
      <c r="M132" s="253"/>
      <c r="N132" s="253"/>
    </row>
    <row r="133" spans="1:14" ht="17.25" x14ac:dyDescent="0.35">
      <c r="A133" s="253"/>
      <c r="B133" s="253">
        <v>1000</v>
      </c>
      <c r="C133" s="253">
        <v>7.391173306492747</v>
      </c>
      <c r="D133" s="253">
        <v>5.303760256843967</v>
      </c>
      <c r="E133" s="253">
        <v>6.4901006310524343</v>
      </c>
      <c r="F133" s="253"/>
      <c r="G133" s="253">
        <v>1000</v>
      </c>
      <c r="H133" s="387">
        <v>7.391173306492747</v>
      </c>
      <c r="I133" s="387">
        <v>5.303760256843967</v>
      </c>
      <c r="J133" s="387">
        <v>6.4901006310524343</v>
      </c>
      <c r="K133" s="253"/>
      <c r="L133" s="253"/>
      <c r="M133" s="253"/>
      <c r="N133" s="253"/>
    </row>
    <row r="134" spans="1:14" ht="17.25" x14ac:dyDescent="0.35">
      <c r="A134" s="253"/>
      <c r="B134" s="253">
        <v>5000</v>
      </c>
      <c r="C134" s="253">
        <v>8.8092932571492426</v>
      </c>
      <c r="D134" s="253">
        <v>5.698558823494861</v>
      </c>
      <c r="E134" s="253">
        <v>7.5383129032473821</v>
      </c>
      <c r="F134" s="253"/>
      <c r="G134" s="253">
        <v>5000</v>
      </c>
      <c r="H134" s="387">
        <v>8.8092932571492426</v>
      </c>
      <c r="I134" s="387">
        <v>5.698558823494861</v>
      </c>
      <c r="J134" s="387">
        <v>7.5383129032473821</v>
      </c>
      <c r="K134" s="253"/>
      <c r="L134" s="253"/>
      <c r="M134" s="253"/>
      <c r="N134" s="253"/>
    </row>
    <row r="135" spans="1:14" ht="17.25" x14ac:dyDescent="0.35">
      <c r="A135" s="253"/>
      <c r="B135" s="253">
        <v>10000</v>
      </c>
      <c r="C135" s="253">
        <v>9.4462861999677195</v>
      </c>
      <c r="D135" s="253">
        <v>5.8467084616391505</v>
      </c>
      <c r="E135" s="253">
        <v>7.9896736907690213</v>
      </c>
      <c r="F135" s="253"/>
      <c r="G135" s="253">
        <v>10000</v>
      </c>
      <c r="H135" s="387">
        <v>9.4462861999677195</v>
      </c>
      <c r="I135" s="387">
        <v>5.8467084616391505</v>
      </c>
      <c r="J135" s="387">
        <v>7.9896736907690213</v>
      </c>
      <c r="K135" s="253"/>
      <c r="L135" s="253"/>
      <c r="M135" s="253"/>
      <c r="N135" s="253"/>
    </row>
    <row r="137" spans="1:14" ht="17.25" hidden="1" x14ac:dyDescent="0.35">
      <c r="A137" s="252" t="s">
        <v>234</v>
      </c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13"/>
    </row>
    <row r="138" spans="1:14" ht="17.25" hidden="1" x14ac:dyDescent="0.35">
      <c r="A138" s="253"/>
      <c r="B138" s="253"/>
      <c r="C138" s="253"/>
      <c r="D138" s="253"/>
      <c r="E138" s="253"/>
      <c r="F138" s="253"/>
      <c r="G138" s="253"/>
      <c r="H138" s="253"/>
      <c r="I138" s="254"/>
      <c r="J138" s="255"/>
      <c r="K138" s="253"/>
      <c r="L138" s="213"/>
    </row>
    <row r="139" spans="1:14" ht="17.25" hidden="1" x14ac:dyDescent="0.35">
      <c r="A139" s="253"/>
      <c r="B139" s="254" t="s">
        <v>238</v>
      </c>
      <c r="C139" s="255"/>
      <c r="D139" s="253"/>
      <c r="E139" s="253"/>
      <c r="F139" s="253"/>
      <c r="G139" s="253"/>
      <c r="H139" s="253"/>
      <c r="I139" s="254"/>
      <c r="J139" s="254"/>
      <c r="K139" s="253"/>
      <c r="L139" s="213"/>
    </row>
    <row r="140" spans="1:14" ht="18.75" hidden="1" x14ac:dyDescent="0.35">
      <c r="A140" s="253" t="s">
        <v>235</v>
      </c>
      <c r="B140" s="256" t="e">
        <f>'Station Details'!#REF!</f>
        <v>#REF!</v>
      </c>
      <c r="C140" s="254" t="s">
        <v>103</v>
      </c>
      <c r="D140" s="253"/>
      <c r="E140" s="253"/>
      <c r="G140" s="253"/>
      <c r="H140" s="253"/>
      <c r="I140" s="254"/>
      <c r="J140" s="254"/>
      <c r="K140" s="253"/>
      <c r="L140" s="213"/>
    </row>
    <row r="141" spans="1:14" ht="18.75" hidden="1" x14ac:dyDescent="0.35">
      <c r="A141" s="253" t="s">
        <v>230</v>
      </c>
      <c r="B141" s="257" t="e">
        <f>'Station Details'!#REF!</f>
        <v>#REF!</v>
      </c>
      <c r="C141" s="254" t="s">
        <v>103</v>
      </c>
      <c r="D141" s="213"/>
      <c r="F141" s="253"/>
      <c r="G141" s="253"/>
      <c r="H141" s="253"/>
      <c r="I141" s="253"/>
      <c r="J141" s="253"/>
      <c r="K141" s="253"/>
      <c r="L141" s="213"/>
    </row>
    <row r="142" spans="1:14" ht="17.25" hidden="1" x14ac:dyDescent="0.35">
      <c r="A142" s="253" t="s">
        <v>216</v>
      </c>
      <c r="B142" s="270" t="e">
        <f>(B141/B140)</f>
        <v>#REF!</v>
      </c>
      <c r="C142" s="254"/>
      <c r="D142" s="253"/>
      <c r="E142" s="253"/>
      <c r="F142" s="253"/>
      <c r="G142" s="253"/>
      <c r="H142" s="253"/>
      <c r="I142" s="253"/>
      <c r="J142" s="253"/>
      <c r="K142" s="253"/>
      <c r="L142" s="213"/>
    </row>
    <row r="143" spans="1:14" ht="17.25" hidden="1" x14ac:dyDescent="0.35">
      <c r="A143" s="251" t="s">
        <v>0</v>
      </c>
      <c r="B143" s="351" t="s">
        <v>1</v>
      </c>
      <c r="C143" s="351"/>
      <c r="D143" s="351"/>
      <c r="E143" s="351"/>
      <c r="F143" s="351"/>
      <c r="G143" s="351"/>
      <c r="H143" s="351"/>
      <c r="I143" s="351"/>
      <c r="J143" s="351"/>
      <c r="K143" s="351"/>
      <c r="L143" s="351"/>
      <c r="M143" s="351"/>
      <c r="N143" s="351"/>
    </row>
    <row r="144" spans="1:14" ht="17.25" hidden="1" x14ac:dyDescent="0.35">
      <c r="B144" s="281">
        <f>B130</f>
        <v>100</v>
      </c>
      <c r="C144" s="281">
        <f t="shared" ref="C144:N144" si="6">C130</f>
        <v>5.4860570908505117</v>
      </c>
      <c r="D144" s="281">
        <f t="shared" si="6"/>
        <v>4.5758102719599503</v>
      </c>
      <c r="E144" s="281">
        <f t="shared" si="6"/>
        <v>4.9878771218668385</v>
      </c>
      <c r="F144" s="281">
        <f t="shared" si="6"/>
        <v>0</v>
      </c>
      <c r="G144" s="281">
        <f t="shared" si="6"/>
        <v>100</v>
      </c>
      <c r="H144" s="281">
        <f t="shared" si="6"/>
        <v>5.4860570908505117</v>
      </c>
      <c r="I144" s="281">
        <f t="shared" si="6"/>
        <v>4.5758102719599503</v>
      </c>
      <c r="J144" s="281">
        <f t="shared" si="6"/>
        <v>4.9878771218668385</v>
      </c>
      <c r="K144" s="281">
        <f t="shared" si="6"/>
        <v>0</v>
      </c>
      <c r="L144" s="281">
        <f t="shared" si="6"/>
        <v>0</v>
      </c>
      <c r="M144" s="281">
        <f t="shared" si="6"/>
        <v>0</v>
      </c>
      <c r="N144" s="281">
        <f t="shared" si="6"/>
        <v>0</v>
      </c>
    </row>
    <row r="145" spans="1:14" ht="17.25" hidden="1" x14ac:dyDescent="0.35">
      <c r="A145" s="251" t="s">
        <v>223</v>
      </c>
      <c r="B145" s="279">
        <f t="shared" ref="B145:H145" si="7">1/B144</f>
        <v>0.01</v>
      </c>
      <c r="C145" s="279">
        <f t="shared" si="7"/>
        <v>0.18228027587750978</v>
      </c>
      <c r="D145" s="279">
        <f t="shared" si="7"/>
        <v>0.21854052955995298</v>
      </c>
      <c r="E145" s="279">
        <f t="shared" si="7"/>
        <v>0.20048609369625467</v>
      </c>
      <c r="F145" s="279" t="e">
        <f t="shared" si="7"/>
        <v>#DIV/0!</v>
      </c>
      <c r="G145" s="279">
        <f t="shared" si="7"/>
        <v>0.01</v>
      </c>
      <c r="H145" s="279">
        <f t="shared" si="7"/>
        <v>0.18228027587750978</v>
      </c>
      <c r="I145" s="279">
        <f>1/I144</f>
        <v>0.21854052955995298</v>
      </c>
      <c r="J145" s="279">
        <f t="shared" ref="J145:N145" si="8">1/J144</f>
        <v>0.20048609369625467</v>
      </c>
      <c r="K145" s="279" t="e">
        <f t="shared" si="8"/>
        <v>#DIV/0!</v>
      </c>
      <c r="L145" s="279" t="e">
        <f t="shared" si="8"/>
        <v>#DIV/0!</v>
      </c>
      <c r="M145" s="279" t="e">
        <f t="shared" si="8"/>
        <v>#DIV/0!</v>
      </c>
      <c r="N145" s="279" t="e">
        <f t="shared" si="8"/>
        <v>#DIV/0!</v>
      </c>
    </row>
    <row r="146" spans="1:14" ht="17.25" hidden="1" x14ac:dyDescent="0.35">
      <c r="A146" s="251" t="s">
        <v>213</v>
      </c>
      <c r="B146" s="292" t="e">
        <f>$B$142*B60</f>
        <v>#REF!</v>
      </c>
      <c r="C146" s="292" t="e">
        <f t="shared" ref="C146:N146" si="9">$B$142*C60</f>
        <v>#REF!</v>
      </c>
      <c r="D146" s="292" t="e">
        <f t="shared" si="9"/>
        <v>#REF!</v>
      </c>
      <c r="E146" s="292" t="e">
        <f t="shared" si="9"/>
        <v>#REF!</v>
      </c>
      <c r="F146" s="292" t="e">
        <f t="shared" si="9"/>
        <v>#REF!</v>
      </c>
      <c r="G146" s="292" t="e">
        <f t="shared" si="9"/>
        <v>#REF!</v>
      </c>
      <c r="H146" s="292" t="e">
        <f t="shared" si="9"/>
        <v>#REF!</v>
      </c>
      <c r="I146" s="292" t="e">
        <f t="shared" si="9"/>
        <v>#REF!</v>
      </c>
      <c r="J146" s="292" t="e">
        <f t="shared" si="9"/>
        <v>#REF!</v>
      </c>
      <c r="K146" s="292" t="e">
        <f t="shared" si="9"/>
        <v>#REF!</v>
      </c>
      <c r="L146" s="292" t="e">
        <f t="shared" si="9"/>
        <v>#REF!</v>
      </c>
      <c r="M146" s="292" t="e">
        <f t="shared" si="9"/>
        <v>#REF!</v>
      </c>
      <c r="N146" s="292" t="e">
        <f t="shared" si="9"/>
        <v>#REF!</v>
      </c>
    </row>
    <row r="147" spans="1:14" ht="17.25" hidden="1" x14ac:dyDescent="0.35">
      <c r="A147" s="251" t="s">
        <v>214</v>
      </c>
      <c r="B147" s="292" t="e">
        <f>$B$142*B61</f>
        <v>#REF!</v>
      </c>
      <c r="C147" s="292" t="e">
        <f t="shared" ref="C147:N147" si="10">$B$142*C61</f>
        <v>#REF!</v>
      </c>
      <c r="D147" s="292" t="e">
        <f t="shared" si="10"/>
        <v>#REF!</v>
      </c>
      <c r="E147" s="292" t="e">
        <f t="shared" si="10"/>
        <v>#REF!</v>
      </c>
      <c r="F147" s="292" t="e">
        <f t="shared" si="10"/>
        <v>#REF!</v>
      </c>
      <c r="G147" s="292" t="e">
        <f t="shared" si="10"/>
        <v>#REF!</v>
      </c>
      <c r="H147" s="292" t="e">
        <f t="shared" si="10"/>
        <v>#REF!</v>
      </c>
      <c r="I147" s="292" t="e">
        <f t="shared" si="10"/>
        <v>#REF!</v>
      </c>
      <c r="J147" s="292" t="e">
        <f t="shared" si="10"/>
        <v>#REF!</v>
      </c>
      <c r="K147" s="292" t="e">
        <f t="shared" si="10"/>
        <v>#REF!</v>
      </c>
      <c r="L147" s="292" t="e">
        <f t="shared" si="10"/>
        <v>#REF!</v>
      </c>
      <c r="M147" s="292" t="e">
        <f t="shared" si="10"/>
        <v>#REF!</v>
      </c>
      <c r="N147" s="292" t="e">
        <f t="shared" si="10"/>
        <v>#REF!</v>
      </c>
    </row>
    <row r="148" spans="1:14" ht="17.25" hidden="1" x14ac:dyDescent="0.35">
      <c r="A148" s="258" t="s">
        <v>215</v>
      </c>
      <c r="B148" s="268"/>
      <c r="C148" s="268" t="e">
        <f t="shared" ref="C148:N148" si="11">$B$142*C62</f>
        <v>#REF!</v>
      </c>
      <c r="D148" s="268" t="e">
        <f t="shared" si="11"/>
        <v>#REF!</v>
      </c>
      <c r="E148" s="268" t="e">
        <f t="shared" si="11"/>
        <v>#REF!</v>
      </c>
      <c r="F148" s="268" t="e">
        <f t="shared" si="11"/>
        <v>#REF!</v>
      </c>
      <c r="G148" s="268" t="e">
        <f t="shared" si="11"/>
        <v>#REF!</v>
      </c>
      <c r="H148" s="268" t="e">
        <f>$B$142*H62</f>
        <v>#REF!</v>
      </c>
      <c r="I148" s="268" t="e">
        <f t="shared" si="11"/>
        <v>#REF!</v>
      </c>
      <c r="J148" s="268" t="e">
        <f t="shared" si="11"/>
        <v>#REF!</v>
      </c>
      <c r="K148" s="268" t="e">
        <f t="shared" si="11"/>
        <v>#REF!</v>
      </c>
      <c r="L148" s="268" t="e">
        <f t="shared" si="11"/>
        <v>#REF!</v>
      </c>
      <c r="M148" s="268" t="e">
        <f t="shared" si="11"/>
        <v>#REF!</v>
      </c>
      <c r="N148" s="268" t="e">
        <f t="shared" si="11"/>
        <v>#REF!</v>
      </c>
    </row>
    <row r="149" spans="1:14" hidden="1" x14ac:dyDescent="0.3">
      <c r="C149" s="215">
        <v>1</v>
      </c>
      <c r="D149" s="215">
        <v>2</v>
      </c>
      <c r="E149" s="215">
        <v>3</v>
      </c>
      <c r="F149" s="215">
        <v>4</v>
      </c>
      <c r="G149" s="215">
        <v>5</v>
      </c>
      <c r="H149" s="215">
        <v>6</v>
      </c>
      <c r="I149" s="215">
        <v>7</v>
      </c>
      <c r="J149" s="215">
        <v>8</v>
      </c>
      <c r="K149" s="215">
        <v>9</v>
      </c>
      <c r="L149" s="215">
        <v>10</v>
      </c>
      <c r="M149" s="215">
        <v>11</v>
      </c>
      <c r="N149" s="215">
        <v>12</v>
      </c>
    </row>
  </sheetData>
  <mergeCells count="12">
    <mergeCell ref="B143:N143"/>
    <mergeCell ref="B113:N113"/>
    <mergeCell ref="A1:L1"/>
    <mergeCell ref="A2:L2"/>
    <mergeCell ref="A10:A11"/>
    <mergeCell ref="A34:A35"/>
    <mergeCell ref="B10:N10"/>
    <mergeCell ref="B34:N34"/>
    <mergeCell ref="A58:A59"/>
    <mergeCell ref="B58:N58"/>
    <mergeCell ref="A81:A82"/>
    <mergeCell ref="B81:N81"/>
  </mergeCells>
  <printOptions horizontalCentered="1"/>
  <pageMargins left="0.75" right="0.75" top="1" bottom="1" header="0.5" footer="0.5"/>
  <pageSetup paperSize="9" scale="90" fitToHeight="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6" tint="-0.499984740745262"/>
  </sheetPr>
  <dimension ref="A1:AC352"/>
  <sheetViews>
    <sheetView topLeftCell="A266" zoomScale="70" zoomScaleNormal="70" zoomScaleSheetLayoutView="85" workbookViewId="0">
      <selection activeCell="P281" sqref="P281"/>
    </sheetView>
  </sheetViews>
  <sheetFormatPr defaultRowHeight="17.25" x14ac:dyDescent="0.35"/>
  <cols>
    <col min="1" max="1" width="27.7109375" style="104" customWidth="1"/>
    <col min="2" max="2" width="28.28515625" style="104" customWidth="1"/>
    <col min="3" max="3" width="21" style="104" customWidth="1"/>
    <col min="4" max="4" width="14" style="104" customWidth="1"/>
    <col min="5" max="5" width="18.140625" style="104" customWidth="1"/>
    <col min="6" max="6" width="13.5703125" style="104" customWidth="1"/>
    <col min="7" max="7" width="12.85546875" style="104" customWidth="1"/>
    <col min="8" max="8" width="12.5703125" style="104" customWidth="1"/>
    <col min="9" max="9" width="13.140625" style="104" customWidth="1"/>
    <col min="10" max="10" width="12" style="104" customWidth="1"/>
    <col min="11" max="11" width="11.42578125" style="104" customWidth="1"/>
    <col min="12" max="12" width="10.42578125" style="111" customWidth="1"/>
    <col min="13" max="14" width="10.5703125" style="104" customWidth="1"/>
    <col min="15" max="15" width="12.5703125" style="104" customWidth="1"/>
    <col min="16" max="16" width="16.5703125" style="104" customWidth="1"/>
    <col min="17" max="17" width="25.42578125" style="104" customWidth="1"/>
    <col min="18" max="18" width="23" style="104" customWidth="1"/>
    <col min="19" max="19" width="11.5703125" style="104" customWidth="1"/>
    <col min="20" max="20" width="14.85546875" style="104" customWidth="1"/>
    <col min="21" max="21" width="21" style="104" customWidth="1"/>
    <col min="22" max="22" width="15.85546875" style="104" customWidth="1"/>
    <col min="23" max="23" width="13.85546875" style="104" customWidth="1"/>
    <col min="24" max="24" width="17.42578125" style="104" customWidth="1"/>
    <col min="25" max="25" width="12.5703125" style="104" customWidth="1"/>
    <col min="26" max="26" width="17" style="104" customWidth="1"/>
    <col min="27" max="27" width="10.140625" style="104" customWidth="1"/>
    <col min="28" max="28" width="12.28515625" style="104" customWidth="1"/>
    <col min="29" max="29" width="11.85546875" style="104" customWidth="1"/>
    <col min="30" max="16384" width="9.140625" style="104"/>
  </cols>
  <sheetData>
    <row r="1" spans="1:25" x14ac:dyDescent="0.35">
      <c r="A1" s="324" t="s">
        <v>65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193"/>
    </row>
    <row r="2" spans="1:25" x14ac:dyDescent="0.35">
      <c r="A2" s="324" t="s">
        <v>63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193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 spans="1:25" x14ac:dyDescent="0.35">
      <c r="A3" s="23" t="s">
        <v>11</v>
      </c>
      <c r="B3" s="288" t="s">
        <v>231</v>
      </c>
      <c r="C3" s="23"/>
      <c r="D3" s="106"/>
      <c r="E3" s="106"/>
      <c r="F3" s="106"/>
      <c r="G3" s="106"/>
      <c r="H3" s="106"/>
      <c r="I3" s="106"/>
      <c r="J3" s="106"/>
      <c r="K3" s="106"/>
      <c r="L3" s="107"/>
      <c r="M3" s="106"/>
      <c r="N3" s="106"/>
      <c r="P3" s="105"/>
    </row>
    <row r="4" spans="1:25" x14ac:dyDescent="0.35">
      <c r="A4" s="23" t="s">
        <v>12</v>
      </c>
      <c r="B4" s="23" t="s">
        <v>58</v>
      </c>
      <c r="C4" s="23"/>
      <c r="D4" s="23"/>
      <c r="E4" s="106"/>
      <c r="G4" s="106"/>
      <c r="H4" s="106"/>
      <c r="I4" s="106"/>
      <c r="J4" s="106"/>
      <c r="K4" s="106"/>
      <c r="L4" s="107"/>
      <c r="M4" s="106"/>
      <c r="N4" s="106"/>
      <c r="P4" s="105"/>
    </row>
    <row r="5" spans="1:25" x14ac:dyDescent="0.35">
      <c r="A5" s="23" t="s">
        <v>13</v>
      </c>
      <c r="B5" s="108">
        <v>43342</v>
      </c>
      <c r="C5" s="109"/>
      <c r="D5" s="106"/>
      <c r="E5" s="106"/>
      <c r="F5" s="106"/>
      <c r="G5" s="106"/>
      <c r="H5" s="106"/>
      <c r="I5" s="106"/>
      <c r="J5" s="106"/>
      <c r="K5" s="106"/>
      <c r="L5" s="107"/>
      <c r="M5" s="106"/>
      <c r="N5" s="106"/>
      <c r="O5" s="110"/>
      <c r="P5" s="105"/>
    </row>
    <row r="6" spans="1:25" x14ac:dyDescent="0.35">
      <c r="A6" s="106" t="s">
        <v>232</v>
      </c>
      <c r="O6" s="110"/>
      <c r="P6" s="105"/>
    </row>
    <row r="7" spans="1:25" x14ac:dyDescent="0.35">
      <c r="A7" s="106" t="s">
        <v>133</v>
      </c>
      <c r="O7" s="110"/>
      <c r="P7" s="105"/>
    </row>
    <row r="8" spans="1:25" x14ac:dyDescent="0.35">
      <c r="A8" s="112" t="s">
        <v>147</v>
      </c>
      <c r="O8" s="110"/>
      <c r="P8" s="105"/>
    </row>
    <row r="9" spans="1:25" hidden="1" x14ac:dyDescent="0.35">
      <c r="A9" s="112" t="s">
        <v>90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M9" s="111"/>
      <c r="N9" s="111"/>
      <c r="O9" s="110"/>
      <c r="P9" s="105"/>
    </row>
    <row r="10" spans="1:25" hidden="1" x14ac:dyDescent="0.3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M10" s="111"/>
      <c r="N10" s="111"/>
      <c r="O10" s="110"/>
      <c r="P10" s="105"/>
    </row>
    <row r="11" spans="1:25" hidden="1" x14ac:dyDescent="0.35">
      <c r="A11" s="328" t="s">
        <v>0</v>
      </c>
      <c r="B11" s="343" t="s">
        <v>1</v>
      </c>
      <c r="C11" s="344"/>
      <c r="D11" s="344"/>
      <c r="E11" s="344"/>
      <c r="F11" s="344"/>
      <c r="G11" s="344"/>
      <c r="H11" s="344"/>
      <c r="I11" s="344"/>
      <c r="J11" s="344"/>
      <c r="K11" s="344"/>
      <c r="L11" s="345"/>
      <c r="M11" s="113"/>
      <c r="N11" s="113"/>
      <c r="O11" s="110"/>
      <c r="P11" s="105"/>
    </row>
    <row r="12" spans="1:25" hidden="1" x14ac:dyDescent="0.35">
      <c r="A12" s="329"/>
      <c r="B12" s="192">
        <v>1</v>
      </c>
      <c r="C12" s="192">
        <v>2</v>
      </c>
      <c r="D12" s="192">
        <v>2.33</v>
      </c>
      <c r="E12" s="192">
        <v>5</v>
      </c>
      <c r="F12" s="192">
        <v>10</v>
      </c>
      <c r="G12" s="192">
        <v>20</v>
      </c>
      <c r="H12" s="192">
        <v>50</v>
      </c>
      <c r="I12" s="192">
        <v>100</v>
      </c>
      <c r="J12" s="192">
        <v>200</v>
      </c>
      <c r="K12" s="192">
        <v>500</v>
      </c>
      <c r="L12" s="191">
        <v>1000</v>
      </c>
      <c r="M12" s="114"/>
      <c r="N12" s="114"/>
      <c r="O12" s="110"/>
      <c r="P12" s="105"/>
    </row>
    <row r="13" spans="1:25" hidden="1" x14ac:dyDescent="0.35">
      <c r="A13" s="115" t="s">
        <v>8</v>
      </c>
      <c r="B13" s="116">
        <f>+INDEX('Bhakbesi.(439.35'!$F$71:$F$83,'Regional regression analysis'!B202)</f>
        <v>13.180539534389816</v>
      </c>
      <c r="C13" s="116">
        <f>+INDEX('Bhakbesi.(439.35'!$F$71:$F$83,'Regional regression analysis'!C202)</f>
        <v>38.797716681037848</v>
      </c>
      <c r="D13" s="116">
        <f>+INDEX('Bhakbesi.(439.35'!$F$71:$F$83,'Regional regression analysis'!D202)</f>
        <v>41.879585121268356</v>
      </c>
      <c r="E13" s="116">
        <f>+INDEX('Bhakbesi.(439.35'!$F$71:$F$83,'Regional regression analysis'!E202)</f>
        <v>55.673174224534073</v>
      </c>
      <c r="F13" s="116">
        <f>+INDEX('Bhakbesi.(439.35'!$F$71:$F$83,'Regional regression analysis'!F202)</f>
        <v>67.252508582039468</v>
      </c>
      <c r="G13" s="116">
        <f>+INDEX('Bhakbesi.(439.35'!$F$71:$F$83,'Regional regression analysis'!G202)</f>
        <v>78.606440781594543</v>
      </c>
      <c r="H13" s="116">
        <f>+INDEX('Bhakbesi.(439.35'!$F$71:$F$83,'Regional regression analysis'!H202)</f>
        <v>93.68875179721249</v>
      </c>
      <c r="I13" s="116">
        <f>+INDEX('Bhakbesi.(439.35'!$F$71:$F$83,'Regional regression analysis'!I202)</f>
        <v>105.31658855222544</v>
      </c>
      <c r="J13" s="116">
        <f>+INDEX('Bhakbesi.(439.35'!$F$71:$F$83,'Regional regression analysis'!J202)</f>
        <v>117.21735435905538</v>
      </c>
      <c r="K13" s="116">
        <f>+INDEX('Bhakbesi.(439.35'!$F$71:$F$83,'Regional regression analysis'!K202)</f>
        <v>133.45413004777024</v>
      </c>
      <c r="L13" s="116">
        <f>+INDEX('Bhakbesi.(439.35'!$F$71:$F$83,'Regional regression analysis'!L202)</f>
        <v>146.16711989401301</v>
      </c>
      <c r="M13" s="117"/>
      <c r="N13" s="117"/>
      <c r="O13" s="118"/>
    </row>
    <row r="14" spans="1:25" hidden="1" x14ac:dyDescent="0.35">
      <c r="A14" s="115" t="s">
        <v>9</v>
      </c>
      <c r="B14" s="119">
        <f>+INDEX('Bhakbesi.(439.35'!$I$71:$I$83,'Regional regression analysis'!B202)</f>
        <v>10.650522372649394</v>
      </c>
      <c r="C14" s="119">
        <f>+INDEX('Bhakbesi.(439.35'!$I$71:$I$83,'Regional regression analysis'!C202)</f>
        <v>40.372649990616935</v>
      </c>
      <c r="D14" s="119">
        <f>+INDEX('Bhakbesi.(439.35'!$I$71:$I$83,'Regional regression analysis'!D202)</f>
        <v>43.467048191179366</v>
      </c>
      <c r="E14" s="119">
        <f>+INDEX('Bhakbesi.(439.35'!$I$71:$I$83,'Regional regression analysis'!E202)</f>
        <v>56.01221793427024</v>
      </c>
      <c r="F14" s="119">
        <f>+INDEX('Bhakbesi.(439.35'!$I$71:$I$83,'Regional regression analysis'!F202)</f>
        <v>65.10016179823478</v>
      </c>
      <c r="G14" s="119">
        <f>+INDEX('Bhakbesi.(439.35'!$I$71:$I$83,'Regional regression analysis'!G202)</f>
        <v>72.952778718875834</v>
      </c>
      <c r="H14" s="119">
        <f>+INDEX('Bhakbesi.(439.35'!$I$71:$I$83,'Regional regression analysis'!H202)</f>
        <v>82.051757816916975</v>
      </c>
      <c r="I14" s="119">
        <f>+INDEX('Bhakbesi.(439.35'!$I$71:$I$83,'Regional regression analysis'!I202)</f>
        <v>88.208313124918703</v>
      </c>
      <c r="J14" s="119">
        <f>+INDEX('Bhakbesi.(439.35'!$I$71:$I$83,'Regional regression analysis'!J202)</f>
        <v>93.865311772746196</v>
      </c>
      <c r="K14" s="119">
        <f>+INDEX('Bhakbesi.(439.35'!$I$71:$I$83,'Regional regression analysis'!K202)</f>
        <v>100.70249117498928</v>
      </c>
      <c r="L14" s="119">
        <f>+INDEX('Bhakbesi.(439.35'!$I$71:$I$83,'Regional regression analysis'!L202)</f>
        <v>105.45812771802943</v>
      </c>
      <c r="M14" s="117"/>
      <c r="N14" s="117"/>
      <c r="O14" s="118"/>
    </row>
    <row r="15" spans="1:25" hidden="1" x14ac:dyDescent="0.35">
      <c r="A15" s="120" t="s">
        <v>7</v>
      </c>
      <c r="B15" s="121" t="s">
        <v>73</v>
      </c>
      <c r="C15" s="122">
        <f>+INDEX('Bhakbesi.(439.35'!$K$71:$K$83,'Regional regression analysis'!C202)</f>
        <v>39.389718408371159</v>
      </c>
      <c r="D15" s="122">
        <f>+INDEX('Bhakbesi.(439.35'!$K$71:$K$83,'Regional regression analysis'!D202)</f>
        <v>42.013399757896693</v>
      </c>
      <c r="E15" s="122">
        <f>+INDEX('Bhakbesi.(439.35'!$K$71:$K$83,'Regional regression analysis'!E202)</f>
        <v>53.411861217756417</v>
      </c>
      <c r="F15" s="122">
        <f>+INDEX('Bhakbesi.(439.35'!$K$71:$K$83,'Regional regression analysis'!F202)</f>
        <v>62.695739864474042</v>
      </c>
      <c r="G15" s="122">
        <f>+INDEX('Bhakbesi.(439.35'!$K$71:$K$83,'Regional regression analysis'!G202)</f>
        <v>71.601059154858206</v>
      </c>
      <c r="H15" s="122">
        <f>+INDEX('Bhakbesi.(439.35'!$K$71:$K$83,'Regional regression analysis'!H202)</f>
        <v>83.128081520107031</v>
      </c>
      <c r="I15" s="122">
        <f>+INDEX('Bhakbesi.(439.35'!$K$71:$K$83,'Regional regression analysis'!I202)</f>
        <v>91.765962685520023</v>
      </c>
      <c r="J15" s="122">
        <f>+INDEX('Bhakbesi.(439.35'!$K$71:$K$83,'Regional regression analysis'!J202)</f>
        <v>100.3723256735272</v>
      </c>
      <c r="K15" s="122">
        <f>+INDEX('Bhakbesi.(439.35'!$K$71:$K$83,'Regional regression analysis'!K202)</f>
        <v>111.72678741896999</v>
      </c>
      <c r="L15" s="122">
        <f>+INDEX('Bhakbesi.(439.35'!$K$71:$K$83,'Regional regression analysis'!L202)</f>
        <v>120.30822057113875</v>
      </c>
      <c r="M15" s="117"/>
      <c r="N15" s="117"/>
      <c r="O15" s="118"/>
    </row>
    <row r="16" spans="1:25" hidden="1" x14ac:dyDescent="0.35">
      <c r="A16" s="118"/>
      <c r="B16" s="114"/>
      <c r="C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8"/>
    </row>
    <row r="17" spans="1:15" hidden="1" x14ac:dyDescent="0.35">
      <c r="A17" s="118"/>
      <c r="B17" s="114"/>
      <c r="C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18" spans="1:15" hidden="1" x14ac:dyDescent="0.35">
      <c r="A18" s="118"/>
      <c r="B18" s="114"/>
      <c r="C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19" spans="1:15" hidden="1" x14ac:dyDescent="0.35">
      <c r="A19" s="118"/>
      <c r="B19" s="114"/>
      <c r="C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0" spans="1:15" hidden="1" x14ac:dyDescent="0.35">
      <c r="A20" s="118"/>
      <c r="B20" s="114"/>
      <c r="C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8"/>
    </row>
    <row r="21" spans="1:15" hidden="1" x14ac:dyDescent="0.35">
      <c r="A21" s="118"/>
      <c r="B21" s="114"/>
      <c r="C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8"/>
    </row>
    <row r="22" spans="1:15" hidden="1" x14ac:dyDescent="0.35">
      <c r="A22" s="118"/>
      <c r="B22" s="114"/>
      <c r="C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8"/>
    </row>
    <row r="23" spans="1:15" hidden="1" x14ac:dyDescent="0.35">
      <c r="A23" s="118"/>
      <c r="B23" s="114"/>
      <c r="C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8"/>
    </row>
    <row r="24" spans="1:15" hidden="1" x14ac:dyDescent="0.35">
      <c r="A24" s="118"/>
      <c r="B24" s="114"/>
      <c r="C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8"/>
    </row>
    <row r="25" spans="1:15" hidden="1" x14ac:dyDescent="0.35">
      <c r="A25" s="118"/>
      <c r="B25" s="114"/>
      <c r="C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8"/>
    </row>
    <row r="26" spans="1:15" hidden="1" x14ac:dyDescent="0.35">
      <c r="A26" s="118"/>
      <c r="B26" s="114"/>
      <c r="C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8"/>
    </row>
    <row r="27" spans="1:15" hidden="1" x14ac:dyDescent="0.35">
      <c r="A27" s="118"/>
      <c r="B27" s="114"/>
      <c r="C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8"/>
    </row>
    <row r="28" spans="1:15" hidden="1" x14ac:dyDescent="0.35">
      <c r="A28" s="118"/>
      <c r="B28" s="114"/>
      <c r="C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8"/>
    </row>
    <row r="29" spans="1:15" hidden="1" x14ac:dyDescent="0.35">
      <c r="A29" s="118"/>
      <c r="B29" s="114"/>
      <c r="C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8"/>
    </row>
    <row r="30" spans="1:15" hidden="1" x14ac:dyDescent="0.35">
      <c r="A30" s="118"/>
      <c r="B30" s="114"/>
      <c r="C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  <row r="31" spans="1:15" hidden="1" x14ac:dyDescent="0.35">
      <c r="A31" s="118"/>
      <c r="B31" s="114"/>
      <c r="C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8"/>
    </row>
    <row r="32" spans="1:15" hidden="1" x14ac:dyDescent="0.35">
      <c r="A32" s="118"/>
      <c r="B32" s="114"/>
      <c r="C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8"/>
    </row>
    <row r="33" spans="1:15" x14ac:dyDescent="0.35">
      <c r="A33" s="118"/>
      <c r="B33" s="114"/>
      <c r="C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8"/>
    </row>
    <row r="34" spans="1:15" x14ac:dyDescent="0.35">
      <c r="A34" s="118"/>
      <c r="B34" s="114"/>
      <c r="C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8"/>
    </row>
    <row r="35" spans="1:15" x14ac:dyDescent="0.35">
      <c r="A35" s="118"/>
      <c r="B35" s="114"/>
      <c r="C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8"/>
    </row>
    <row r="36" spans="1:15" x14ac:dyDescent="0.35">
      <c r="A36" s="87" t="s">
        <v>136</v>
      </c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8"/>
    </row>
    <row r="37" spans="1:15" x14ac:dyDescent="0.35">
      <c r="A37" s="8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8"/>
    </row>
    <row r="38" spans="1:15" ht="18.75" x14ac:dyDescent="0.35">
      <c r="A38" s="104" t="s">
        <v>269</v>
      </c>
      <c r="C38" s="195">
        <f>'Station Details'!H4</f>
        <v>209.73</v>
      </c>
      <c r="D38" s="196" t="s">
        <v>103</v>
      </c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8"/>
    </row>
    <row r="39" spans="1:15" x14ac:dyDescent="0.35">
      <c r="A39" s="8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8"/>
    </row>
    <row r="40" spans="1:15" x14ac:dyDescent="0.35"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8"/>
    </row>
    <row r="41" spans="1:15" ht="18.75" x14ac:dyDescent="0.35">
      <c r="A41" s="181" t="s">
        <v>137</v>
      </c>
      <c r="B41" s="181" t="s">
        <v>145</v>
      </c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8"/>
    </row>
    <row r="42" spans="1:15" x14ac:dyDescent="0.35">
      <c r="A42" s="242">
        <v>2</v>
      </c>
      <c r="B42" s="266" t="e">
        <f>+$P$281*$C$38^2+$Q$281*$C$38+$R$281</f>
        <v>#VALUE!</v>
      </c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8"/>
    </row>
    <row r="43" spans="1:15" x14ac:dyDescent="0.35">
      <c r="A43" s="242">
        <v>2.33</v>
      </c>
      <c r="B43" s="266" t="e">
        <f>+$U$281*$C$38^2+$V$281*$C$38+$W$281</f>
        <v>#VALUE!</v>
      </c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8"/>
    </row>
    <row r="44" spans="1:15" x14ac:dyDescent="0.35">
      <c r="A44" s="242">
        <v>5</v>
      </c>
      <c r="B44" s="266" t="e">
        <f>+$Z$281*$C$38^2+$AA$281*$C$38+$AB$281</f>
        <v>#VALUE!</v>
      </c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8"/>
    </row>
    <row r="45" spans="1:15" x14ac:dyDescent="0.35">
      <c r="A45" s="242">
        <v>10</v>
      </c>
      <c r="B45" s="266" t="e">
        <f>+$P$293*$C$38^2+$Q$293*$C$38+$R$293</f>
        <v>#VALUE!</v>
      </c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8"/>
    </row>
    <row r="46" spans="1:15" x14ac:dyDescent="0.35">
      <c r="A46" s="242">
        <v>20</v>
      </c>
      <c r="B46" s="266" t="e">
        <f>+$U$293*$C$38^2+$V$293*$C$38+$W$293</f>
        <v>#VALUE!</v>
      </c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8"/>
    </row>
    <row r="47" spans="1:15" x14ac:dyDescent="0.35">
      <c r="A47" s="242">
        <v>50</v>
      </c>
      <c r="B47" s="266" t="e">
        <f>+$Z$293*$C$38^2+$AA$293*$C$38+$AB$293</f>
        <v>#VALUE!</v>
      </c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8"/>
    </row>
    <row r="48" spans="1:15" x14ac:dyDescent="0.35">
      <c r="A48" s="243">
        <v>100</v>
      </c>
      <c r="B48" s="267" t="e">
        <f>+$P$305*$C$38^2+$Q$305*$C$38+$R$305</f>
        <v>#VALUE!</v>
      </c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8"/>
    </row>
    <row r="49" spans="1:15" x14ac:dyDescent="0.35">
      <c r="A49" s="242">
        <v>200</v>
      </c>
      <c r="B49" s="266" t="e">
        <f>+$U$305*$C$38^2+$V$305*$C$38+$W$305</f>
        <v>#VALUE!</v>
      </c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8"/>
    </row>
    <row r="50" spans="1:15" x14ac:dyDescent="0.35">
      <c r="A50" s="242">
        <v>500</v>
      </c>
      <c r="B50" s="266" t="e">
        <f>+$Z$305*$C$38^2+$AA$305*$C$38+$AB$305</f>
        <v>#VALUE!</v>
      </c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8"/>
    </row>
    <row r="51" spans="1:15" x14ac:dyDescent="0.35">
      <c r="A51" s="242">
        <v>1000</v>
      </c>
      <c r="B51" s="266" t="e">
        <f>+$P$317*$C$38^2+$Q$317*$C$38+$R$317</f>
        <v>#VALUE!</v>
      </c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8"/>
    </row>
    <row r="52" spans="1:15" x14ac:dyDescent="0.35">
      <c r="A52" s="242">
        <v>10000</v>
      </c>
      <c r="B52" s="266" t="e">
        <f>+$Z$317*$C$38^2+$AA$317*$C$38+$AB$317</f>
        <v>#VALUE!</v>
      </c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8"/>
    </row>
    <row r="53" spans="1:15" x14ac:dyDescent="0.35">
      <c r="A53" s="118"/>
      <c r="B53" s="114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8"/>
    </row>
    <row r="54" spans="1:15" x14ac:dyDescent="0.35">
      <c r="A54" s="126" t="s">
        <v>148</v>
      </c>
      <c r="B54" s="169"/>
      <c r="C54" s="168"/>
      <c r="D54" s="8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8"/>
    </row>
    <row r="55" spans="1:15" x14ac:dyDescent="0.35">
      <c r="A55" s="112" t="str">
        <f>'CAR FFA '!A8</f>
        <v>1) Sabhaya at Tumlingtar (602)</v>
      </c>
      <c r="B55" s="114"/>
      <c r="C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8"/>
    </row>
    <row r="56" spans="1:15" x14ac:dyDescent="0.35">
      <c r="B56" s="118"/>
      <c r="C56" s="118"/>
      <c r="E56" s="118"/>
      <c r="F56" s="118"/>
      <c r="G56" s="118"/>
      <c r="H56" s="118"/>
      <c r="I56" s="118"/>
      <c r="J56" s="118"/>
      <c r="K56" s="118"/>
      <c r="L56" s="118"/>
      <c r="M56" s="111"/>
      <c r="N56" s="111"/>
      <c r="O56" s="111"/>
    </row>
    <row r="57" spans="1:15" x14ac:dyDescent="0.35">
      <c r="A57" s="353" t="s">
        <v>0</v>
      </c>
      <c r="B57" s="351" t="s">
        <v>1</v>
      </c>
      <c r="C57" s="351"/>
      <c r="D57" s="351"/>
      <c r="E57" s="351"/>
      <c r="F57" s="351"/>
      <c r="G57" s="351"/>
      <c r="H57" s="351"/>
      <c r="I57" s="351"/>
      <c r="J57" s="351"/>
      <c r="K57" s="351"/>
      <c r="L57" s="351"/>
      <c r="M57" s="351"/>
      <c r="N57" s="351"/>
      <c r="O57" s="111"/>
    </row>
    <row r="58" spans="1:15" x14ac:dyDescent="0.35">
      <c r="A58" s="353"/>
      <c r="B58" s="302">
        <v>1</v>
      </c>
      <c r="C58" s="302">
        <v>2</v>
      </c>
      <c r="D58" s="302">
        <v>2.33</v>
      </c>
      <c r="E58" s="302">
        <v>5</v>
      </c>
      <c r="F58" s="302">
        <v>10</v>
      </c>
      <c r="G58" s="302">
        <v>20</v>
      </c>
      <c r="H58" s="302">
        <v>50</v>
      </c>
      <c r="I58" s="302">
        <v>100</v>
      </c>
      <c r="J58" s="302">
        <v>200</v>
      </c>
      <c r="K58" s="302">
        <v>500</v>
      </c>
      <c r="L58" s="302">
        <v>1000</v>
      </c>
      <c r="M58" s="302">
        <v>5000</v>
      </c>
      <c r="N58" s="302">
        <v>10000</v>
      </c>
      <c r="O58" s="111"/>
    </row>
    <row r="59" spans="1:15" x14ac:dyDescent="0.35">
      <c r="A59" s="115" t="s">
        <v>8</v>
      </c>
      <c r="B59" s="123" t="e">
        <f>+INDEX('Sabhaya (602)'!$F$64:$F$76,'Regional regression analysis'!B202,)</f>
        <v>#NUM!</v>
      </c>
      <c r="C59" s="123" t="e">
        <f>+INDEX('Sabhaya (602)'!$F$64:$F$76,'Regional regression analysis'!C202,)</f>
        <v>#NUM!</v>
      </c>
      <c r="D59" s="123" t="e">
        <f>+INDEX('Sabhaya (602)'!$F$64:$F$76,'Regional regression analysis'!D202,)</f>
        <v>#NUM!</v>
      </c>
      <c r="E59" s="123" t="e">
        <f>+INDEX('Sabhaya (602)'!$F$64:$F$76,'Regional regression analysis'!E202,)</f>
        <v>#NUM!</v>
      </c>
      <c r="F59" s="123" t="e">
        <f>+INDEX('Sabhaya (602)'!$F$64:$F$76,'Regional regression analysis'!F202,)</f>
        <v>#NUM!</v>
      </c>
      <c r="G59" s="123" t="e">
        <f>+INDEX('Sabhaya (602)'!$F$64:$F$76,'Regional regression analysis'!G202,)</f>
        <v>#NUM!</v>
      </c>
      <c r="H59" s="123" t="e">
        <f>+INDEX('Sabhaya (602)'!$F$64:$F$76,'Regional regression analysis'!H202,)</f>
        <v>#NUM!</v>
      </c>
      <c r="I59" s="123" t="e">
        <f>+INDEX('Sabhaya (602)'!$F$64:$F$76,'Regional regression analysis'!I202,)</f>
        <v>#NUM!</v>
      </c>
      <c r="J59" s="123" t="e">
        <f>+INDEX('Sabhaya (602)'!$F$64:$F$76,'Regional regression analysis'!J202,)</f>
        <v>#NUM!</v>
      </c>
      <c r="K59" s="123" t="e">
        <f>+INDEX('Sabhaya (602)'!$F$64:$F$76,'Regional regression analysis'!K202,)</f>
        <v>#NUM!</v>
      </c>
      <c r="L59" s="123" t="e">
        <f>+INDEX('Sabhaya (602)'!$F$64:$F$76,'Regional regression analysis'!L202,)</f>
        <v>#NUM!</v>
      </c>
      <c r="M59" s="123" t="e">
        <f>+INDEX('Sabhaya (602)'!$F$64:$F$76,'Regional regression analysis'!M202,)</f>
        <v>#NUM!</v>
      </c>
      <c r="N59" s="123" t="e">
        <f>+INDEX('Sabhaya (602)'!$F$64:$F$76,'Regional regression analysis'!N202,)</f>
        <v>#NUM!</v>
      </c>
      <c r="O59" s="111"/>
    </row>
    <row r="60" spans="1:15" x14ac:dyDescent="0.35">
      <c r="A60" s="120" t="s">
        <v>9</v>
      </c>
      <c r="B60" s="124" t="e">
        <f>+INDEX('Sabhaya (602)'!$I$64:$I$76,'Regional regression analysis'!B202,)</f>
        <v>#NUM!</v>
      </c>
      <c r="C60" s="124" t="e">
        <f>+INDEX('Sabhaya (602)'!$I$64:$I$76,'Regional regression analysis'!C202,)</f>
        <v>#NUM!</v>
      </c>
      <c r="D60" s="124" t="e">
        <f>+INDEX('Sabhaya (602)'!$I$64:$I$76,'Regional regression analysis'!D202,)</f>
        <v>#NUM!</v>
      </c>
      <c r="E60" s="124" t="e">
        <f>+INDEX('Sabhaya (602)'!$I$64:$I$76,'Regional regression analysis'!E202,)</f>
        <v>#NUM!</v>
      </c>
      <c r="F60" s="124" t="e">
        <f>+INDEX('Sabhaya (602)'!$I$64:$I$76,'Regional regression analysis'!F202,)</f>
        <v>#NUM!</v>
      </c>
      <c r="G60" s="124" t="e">
        <f>+INDEX('Sabhaya (602)'!$I$64:$I$76,'Regional regression analysis'!G202,)</f>
        <v>#NUM!</v>
      </c>
      <c r="H60" s="124" t="e">
        <f>+INDEX('Sabhaya (602)'!$I$64:$I$76,'Regional regression analysis'!H202,)</f>
        <v>#NUM!</v>
      </c>
      <c r="I60" s="124" t="e">
        <f>+INDEX('Sabhaya (602)'!$I$64:$I$76,'Regional regression analysis'!I202,)</f>
        <v>#NUM!</v>
      </c>
      <c r="J60" s="124" t="e">
        <f>+INDEX('Sabhaya (602)'!$I$64:$I$76,'Regional regression analysis'!J202,)</f>
        <v>#NUM!</v>
      </c>
      <c r="K60" s="124" t="e">
        <f>+INDEX('Sabhaya (602)'!$I$64:$I$76,'Regional regression analysis'!K202,)</f>
        <v>#NUM!</v>
      </c>
      <c r="L60" s="124" t="e">
        <f>+INDEX('Sabhaya (602)'!$I$64:$I$76,'Regional regression analysis'!L202,)</f>
        <v>#NUM!</v>
      </c>
      <c r="M60" s="124" t="e">
        <f>+INDEX('Sabhaya (602)'!$I$64:$I$76,'Regional regression analysis'!M202,)</f>
        <v>#NUM!</v>
      </c>
      <c r="N60" s="124" t="e">
        <f>+INDEX('Sabhaya (602)'!$I$64:$I$76,'Regional regression analysis'!N202,)</f>
        <v>#NUM!</v>
      </c>
      <c r="O60" s="111"/>
    </row>
    <row r="61" spans="1:15" x14ac:dyDescent="0.35">
      <c r="A61" s="115" t="s">
        <v>7</v>
      </c>
      <c r="B61" s="123" t="s">
        <v>73</v>
      </c>
      <c r="C61" s="123">
        <f>+INDEX('Sabhaya (602)'!$K$64:$K$76,'Regional regression analysis'!C202,)</f>
        <v>196.85398524883777</v>
      </c>
      <c r="D61" s="123">
        <f>+INDEX('Sabhaya (602)'!$K$64:$K$76,'Regional regression analysis'!D202,)</f>
        <v>221.06225743449147</v>
      </c>
      <c r="E61" s="123">
        <f>+INDEX('Sabhaya (602)'!$K$64:$K$76,'Regional regression analysis'!E202,)</f>
        <v>326.23396876592602</v>
      </c>
      <c r="F61" s="123">
        <f>+INDEX('Sabhaya (602)'!$K$64:$K$76,'Regional regression analysis'!F202,)</f>
        <v>411.89477557806498</v>
      </c>
      <c r="G61" s="123">
        <f>+INDEX('Sabhaya (602)'!$K$64:$K$76,'Regional regression analysis'!G202,)</f>
        <v>494.06267806392066</v>
      </c>
      <c r="H61" s="123">
        <f>+INDEX('Sabhaya (602)'!$K$64:$K$76,'Regional regression analysis'!H202,)</f>
        <v>600.42059952359978</v>
      </c>
      <c r="I61" s="123">
        <f>+INDEX('Sabhaya (602)'!$K$64:$K$76,'Regional regression analysis'!I202,)</f>
        <v>680.12089483479087</v>
      </c>
      <c r="J61" s="123">
        <f>+INDEX('Sabhaya (602)'!$K$64:$K$76,'Regional regression analysis'!J202,)</f>
        <v>759.53037715622099</v>
      </c>
      <c r="K61" s="123">
        <f>+INDEX('Sabhaya (602)'!$K$64:$K$76,'Regional regression analysis'!K202,)</f>
        <v>864.29611042828151</v>
      </c>
      <c r="L61" s="123">
        <f>+INDEX('Sabhaya (602)'!$K$64:$K$76,'Regional regression analysis'!L202,)</f>
        <v>943.47556929368886</v>
      </c>
      <c r="M61" s="123">
        <f>+INDEX('Sabhaya (602)'!$K$64:$K$76,'Regional regression analysis'!M202,)</f>
        <v>1127.2375727637177</v>
      </c>
      <c r="N61" s="123">
        <f>+INDEX('Sabhaya (602)'!$K$64:$K$76,'Regional regression analysis'!N202,)</f>
        <v>1206.365593683664</v>
      </c>
      <c r="O61" s="111"/>
    </row>
    <row r="62" spans="1:15" ht="15.75" customHeight="1" x14ac:dyDescent="0.35">
      <c r="A62" s="118"/>
      <c r="B62" s="114"/>
      <c r="C62" s="113"/>
      <c r="E62" s="113"/>
      <c r="F62" s="113"/>
      <c r="G62" s="113"/>
      <c r="H62" s="113"/>
      <c r="I62" s="113"/>
      <c r="J62" s="113"/>
      <c r="K62" s="113"/>
      <c r="L62" s="113"/>
      <c r="M62" s="114"/>
      <c r="N62" s="114"/>
      <c r="O62" s="111"/>
    </row>
    <row r="63" spans="1:15" ht="15.75" customHeight="1" x14ac:dyDescent="0.35">
      <c r="A63" s="118"/>
      <c r="B63" s="114"/>
      <c r="C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1"/>
    </row>
    <row r="64" spans="1:15" ht="15.75" customHeight="1" x14ac:dyDescent="0.35">
      <c r="A64" s="118"/>
      <c r="B64" s="114"/>
      <c r="C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1"/>
    </row>
    <row r="65" spans="1:15" ht="15.75" customHeight="1" x14ac:dyDescent="0.35">
      <c r="A65" s="118"/>
      <c r="B65" s="114"/>
      <c r="C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1"/>
    </row>
    <row r="66" spans="1:15" ht="15.75" customHeight="1" x14ac:dyDescent="0.35">
      <c r="A66" s="118"/>
      <c r="B66" s="114"/>
      <c r="C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1"/>
    </row>
    <row r="67" spans="1:15" ht="15.75" customHeight="1" x14ac:dyDescent="0.35">
      <c r="A67" s="118"/>
      <c r="B67" s="114"/>
      <c r="C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1"/>
    </row>
    <row r="68" spans="1:15" ht="15.75" customHeight="1" x14ac:dyDescent="0.35">
      <c r="A68" s="118"/>
      <c r="B68" s="114"/>
      <c r="C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1"/>
    </row>
    <row r="69" spans="1:15" ht="15.75" customHeight="1" x14ac:dyDescent="0.35">
      <c r="A69" s="118"/>
      <c r="B69" s="114"/>
      <c r="C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1"/>
    </row>
    <row r="70" spans="1:15" ht="15.75" customHeight="1" x14ac:dyDescent="0.35">
      <c r="A70" s="118"/>
      <c r="B70" s="114"/>
      <c r="C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1"/>
    </row>
    <row r="71" spans="1:15" ht="15.75" customHeight="1" x14ac:dyDescent="0.35">
      <c r="A71" s="118"/>
      <c r="B71" s="114"/>
      <c r="C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1"/>
    </row>
    <row r="72" spans="1:15" ht="15.75" customHeight="1" x14ac:dyDescent="0.35">
      <c r="A72" s="118"/>
      <c r="B72" s="114"/>
      <c r="C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1"/>
    </row>
    <row r="73" spans="1:15" ht="15.75" customHeight="1" x14ac:dyDescent="0.35">
      <c r="A73" s="118"/>
      <c r="B73" s="114"/>
      <c r="C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1"/>
    </row>
    <row r="74" spans="1:15" ht="15.75" customHeight="1" x14ac:dyDescent="0.35">
      <c r="A74" s="118"/>
      <c r="B74" s="114"/>
      <c r="C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1"/>
    </row>
    <row r="75" spans="1:15" ht="15.75" customHeight="1" x14ac:dyDescent="0.35">
      <c r="A75" s="118"/>
      <c r="B75" s="114"/>
      <c r="C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1"/>
    </row>
    <row r="76" spans="1:15" ht="15.75" customHeight="1" x14ac:dyDescent="0.35">
      <c r="A76" s="118"/>
      <c r="B76" s="114"/>
      <c r="C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1"/>
    </row>
    <row r="77" spans="1:15" ht="15.75" customHeight="1" x14ac:dyDescent="0.35">
      <c r="A77" s="118"/>
      <c r="B77" s="114"/>
      <c r="C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1"/>
    </row>
    <row r="78" spans="1:15" ht="15.75" customHeight="1" x14ac:dyDescent="0.35">
      <c r="A78" s="118"/>
      <c r="B78" s="114"/>
      <c r="C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1"/>
    </row>
    <row r="79" spans="1:15" ht="15.75" customHeight="1" x14ac:dyDescent="0.35">
      <c r="A79" s="118"/>
      <c r="B79" s="114"/>
      <c r="C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1"/>
    </row>
    <row r="80" spans="1:15" x14ac:dyDescent="0.35">
      <c r="A80" s="112" t="str">
        <f>'CAR FFA '!A32</f>
        <v>2) Hinwa (602.5)</v>
      </c>
      <c r="B80" s="114"/>
      <c r="C80" s="117"/>
      <c r="E80" s="117"/>
      <c r="F80" s="117"/>
      <c r="G80" s="117"/>
      <c r="H80" s="117"/>
      <c r="I80" s="117"/>
      <c r="J80" s="117"/>
      <c r="K80" s="117"/>
      <c r="L80" s="117"/>
      <c r="M80" s="114"/>
      <c r="N80" s="114"/>
      <c r="O80" s="111"/>
    </row>
    <row r="81" spans="1:15" x14ac:dyDescent="0.35">
      <c r="B81" s="118"/>
      <c r="C81" s="118"/>
      <c r="E81" s="118"/>
      <c r="F81" s="118"/>
      <c r="G81" s="118"/>
      <c r="H81" s="118"/>
      <c r="I81" s="118"/>
      <c r="J81" s="118"/>
      <c r="K81" s="118"/>
      <c r="L81" s="118"/>
      <c r="M81" s="117"/>
      <c r="N81" s="117"/>
      <c r="O81" s="111"/>
    </row>
    <row r="82" spans="1:15" x14ac:dyDescent="0.35">
      <c r="A82" s="353" t="s">
        <v>0</v>
      </c>
      <c r="B82" s="351" t="s">
        <v>1</v>
      </c>
      <c r="C82" s="351"/>
      <c r="D82" s="351"/>
      <c r="E82" s="351"/>
      <c r="F82" s="351"/>
      <c r="G82" s="351"/>
      <c r="H82" s="351"/>
      <c r="I82" s="351"/>
      <c r="J82" s="351"/>
      <c r="K82" s="351"/>
      <c r="L82" s="351"/>
      <c r="M82" s="351"/>
      <c r="N82" s="351"/>
      <c r="O82" s="111"/>
    </row>
    <row r="83" spans="1:15" x14ac:dyDescent="0.35">
      <c r="A83" s="353"/>
      <c r="B83" s="302">
        <v>1</v>
      </c>
      <c r="C83" s="302">
        <v>2</v>
      </c>
      <c r="D83" s="302">
        <v>2.33</v>
      </c>
      <c r="E83" s="302">
        <v>5</v>
      </c>
      <c r="F83" s="302">
        <v>10</v>
      </c>
      <c r="G83" s="302">
        <v>20</v>
      </c>
      <c r="H83" s="302">
        <v>50</v>
      </c>
      <c r="I83" s="302">
        <v>100</v>
      </c>
      <c r="J83" s="302">
        <v>200</v>
      </c>
      <c r="K83" s="302">
        <v>500</v>
      </c>
      <c r="L83" s="302">
        <v>1000</v>
      </c>
      <c r="M83" s="302">
        <v>5000</v>
      </c>
      <c r="N83" s="302">
        <v>10000</v>
      </c>
      <c r="O83" s="111"/>
    </row>
    <row r="84" spans="1:15" x14ac:dyDescent="0.35">
      <c r="A84" s="115" t="s">
        <v>8</v>
      </c>
      <c r="B84" s="123">
        <f>+INDEX('Hinwa (602.5)'!$F$63:$F$75,B202,)</f>
        <v>15.951153579774674</v>
      </c>
      <c r="C84" s="123">
        <f>+INDEX('Hinwa (602.5)'!$F$63:$F$75,C202,)</f>
        <v>42.577130397333633</v>
      </c>
      <c r="D84" s="123">
        <f>+INDEX('Hinwa (602.5)'!$F$63:$F$75,D202,)</f>
        <v>45.641971161295515</v>
      </c>
      <c r="E84" s="123">
        <f>+INDEX('Hinwa (602.5)'!$F$63:$F$75,E202,)</f>
        <v>59.129413881409512</v>
      </c>
      <c r="F84" s="123">
        <f>+INDEX('Hinwa (602.5)'!$F$63:$F$75,F202,)</f>
        <v>70.214963872933595</v>
      </c>
      <c r="G84" s="123">
        <f>+INDEX('Hinwa (602.5)'!$F$63:$F$75,G202,)</f>
        <v>80.917029594133382</v>
      </c>
      <c r="H84" s="123">
        <f>+INDEX('Hinwa (602.5)'!$F$63:$F$75,H202,)</f>
        <v>94.920812244672803</v>
      </c>
      <c r="I84" s="123">
        <f>+INDEX('Hinwa (602.5)'!$F$63:$F$75,I202,)</f>
        <v>105.57631447132336</v>
      </c>
      <c r="J84" s="123">
        <f>+INDEX('Hinwa (602.5)'!$F$63:$F$75,J202,)</f>
        <v>116.37194637625507</v>
      </c>
      <c r="K84" s="123">
        <f>+INDEX('Hinwa (602.5)'!$F$63:$F$75,K202,)</f>
        <v>130.94319439345239</v>
      </c>
      <c r="L84" s="123">
        <f>+INDEX('Hinwa (602.5)'!$F$63:$F$75,L202,)</f>
        <v>142.23928486266499</v>
      </c>
      <c r="M84" s="123">
        <f>+INDEX('Hinwa (602.5)'!$F$63:$F$75,M202,)</f>
        <v>169.53026550489457</v>
      </c>
      <c r="N84" s="123">
        <f>+INDEX('Hinwa (602.5)'!$F$63:$F$75,N202,)</f>
        <v>181.78886327982059</v>
      </c>
      <c r="O84" s="111"/>
    </row>
    <row r="85" spans="1:15" x14ac:dyDescent="0.35">
      <c r="A85" s="120" t="s">
        <v>9</v>
      </c>
      <c r="B85" s="122">
        <f>+INDEX('Hinwa (602.5)'!$I$63:$I$75,B202,)</f>
        <v>12.825804868029152</v>
      </c>
      <c r="C85" s="122">
        <f>+INDEX('Hinwa (602.5)'!$I$63:$I$75,C202,)</f>
        <v>44.344889420037198</v>
      </c>
      <c r="D85" s="122">
        <f>+INDEX('Hinwa (602.5)'!$I$63:$I$75,D202,)</f>
        <v>47.403206648033475</v>
      </c>
      <c r="E85" s="122">
        <f>+INDEX('Hinwa (602.5)'!$I$63:$I$75,E202,)</f>
        <v>59.4543501119458</v>
      </c>
      <c r="F85" s="122">
        <f>+INDEX('Hinwa (602.5)'!$I$63:$I$75,F202,)</f>
        <v>67.856742666381422</v>
      </c>
      <c r="G85" s="122">
        <f>+INDEX('Hinwa (602.5)'!$I$63:$I$75,G202,)</f>
        <v>74.906371941649638</v>
      </c>
      <c r="H85" s="122">
        <f>+INDEX('Hinwa (602.5)'!$I$63:$I$75,H202,)</f>
        <v>82.836814689646829</v>
      </c>
      <c r="I85" s="122">
        <f>+INDEX('Hinwa (602.5)'!$I$63:$I$75,I202,)</f>
        <v>88.059088017740635</v>
      </c>
      <c r="J85" s="122">
        <f>+INDEX('Hinwa (602.5)'!$I$63:$I$75,J202,)</f>
        <v>92.755247904493885</v>
      </c>
      <c r="K85" s="122">
        <f>+INDEX('Hinwa (602.5)'!$I$63:$I$75,K202,)</f>
        <v>98.298929341233631</v>
      </c>
      <c r="L85" s="122">
        <f>+INDEX('Hinwa (602.5)'!$I$63:$I$75,L202,)</f>
        <v>102.06810674481247</v>
      </c>
      <c r="M85" s="122">
        <f>+INDEX('Hinwa (602.5)'!$I$63:$I$75,M202,)</f>
        <v>109.66579975735466</v>
      </c>
      <c r="N85" s="122">
        <f>+INDEX('Hinwa (602.5)'!$I$63:$I$75,N202,)</f>
        <v>112.51686246532758</v>
      </c>
      <c r="O85" s="111"/>
    </row>
    <row r="86" spans="1:15" x14ac:dyDescent="0.35">
      <c r="A86" s="115" t="s">
        <v>7</v>
      </c>
      <c r="B86" s="119" t="s">
        <v>73</v>
      </c>
      <c r="C86" s="119">
        <f>+INDEX('Hinwa (602.5)'!$K$63:$K$75,C202,)</f>
        <v>42.938933036017502</v>
      </c>
      <c r="D86" s="119">
        <f>+INDEX('Hinwa (602.5)'!$K$63:$K$75,D202,)</f>
        <v>45.59637317870736</v>
      </c>
      <c r="E86" s="119">
        <f>+INDEX('Hinwa (602.5)'!$K$63:$K$75,E202,)</f>
        <v>57.141498143601538</v>
      </c>
      <c r="F86" s="119">
        <f>+INDEX('Hinwa (602.5)'!$K$63:$K$75,F202,)</f>
        <v>66.544832050788926</v>
      </c>
      <c r="G86" s="119">
        <f>+INDEX('Hinwa (602.5)'!$K$63:$K$75,G202,)</f>
        <v>75.564735694963105</v>
      </c>
      <c r="H86" s="119">
        <f>+INDEX('Hinwa (602.5)'!$K$63:$K$75,H202,)</f>
        <v>87.240075752792762</v>
      </c>
      <c r="I86" s="119">
        <f>+INDEX('Hinwa (602.5)'!$K$63:$K$75,I202,)</f>
        <v>95.98910015733955</v>
      </c>
      <c r="J86" s="119">
        <f>+INDEX('Hinwa (602.5)'!$K$63:$K$75,J202,)</f>
        <v>104.70620084147045</v>
      </c>
      <c r="K86" s="119">
        <f>+INDEX('Hinwa (602.5)'!$K$63:$K$75,K202,)</f>
        <v>116.20675994954684</v>
      </c>
      <c r="L86" s="119">
        <f>+INDEX('Hinwa (602.5)'!$K$63:$K$75,L202,)</f>
        <v>124.89861002673202</v>
      </c>
      <c r="M86" s="119">
        <f>+INDEX('Hinwa (602.5)'!$K$63:$K$75,M202,)</f>
        <v>145.07090984959029</v>
      </c>
      <c r="N86" s="119">
        <f>+INDEX('Hinwa (602.5)'!$K$63:$K$75,N202,)</f>
        <v>153.75711337504814</v>
      </c>
      <c r="O86" s="111"/>
    </row>
    <row r="87" spans="1:15" x14ac:dyDescent="0.35">
      <c r="A87" s="126"/>
      <c r="B87" s="118"/>
      <c r="C87" s="118"/>
      <c r="E87" s="117"/>
      <c r="F87" s="117"/>
      <c r="G87" s="117"/>
      <c r="I87" s="117"/>
      <c r="J87" s="117"/>
      <c r="K87" s="117"/>
      <c r="L87" s="117"/>
      <c r="M87" s="125"/>
      <c r="N87" s="125"/>
      <c r="O87" s="111"/>
    </row>
    <row r="88" spans="1:15" x14ac:dyDescent="0.35">
      <c r="A88" s="127"/>
      <c r="B88" s="118"/>
      <c r="C88" s="117"/>
      <c r="E88" s="117"/>
      <c r="F88" s="117"/>
      <c r="G88" s="117"/>
      <c r="I88" s="117"/>
      <c r="J88" s="117"/>
      <c r="K88" s="117"/>
      <c r="L88" s="117"/>
      <c r="M88" s="125"/>
      <c r="N88" s="125"/>
      <c r="O88" s="111"/>
    </row>
    <row r="89" spans="1:15" x14ac:dyDescent="0.35">
      <c r="A89" s="127"/>
      <c r="B89" s="118"/>
      <c r="C89" s="117"/>
      <c r="E89" s="117"/>
      <c r="F89" s="117"/>
      <c r="G89" s="117"/>
      <c r="I89" s="117"/>
      <c r="J89" s="117"/>
      <c r="K89" s="117"/>
      <c r="L89" s="117"/>
      <c r="M89" s="125"/>
      <c r="N89" s="125"/>
      <c r="O89" s="111"/>
    </row>
    <row r="90" spans="1:15" x14ac:dyDescent="0.35">
      <c r="A90" s="127"/>
      <c r="B90" s="118"/>
      <c r="C90" s="117"/>
      <c r="E90" s="117"/>
      <c r="F90" s="117"/>
      <c r="G90" s="117"/>
      <c r="I90" s="117"/>
      <c r="J90" s="117"/>
      <c r="K90" s="117"/>
      <c r="L90" s="117"/>
      <c r="M90" s="125"/>
      <c r="N90" s="125"/>
      <c r="O90" s="111"/>
    </row>
    <row r="91" spans="1:15" x14ac:dyDescent="0.35">
      <c r="A91" s="127"/>
      <c r="B91" s="118"/>
      <c r="C91" s="117"/>
      <c r="E91" s="117"/>
      <c r="F91" s="117"/>
      <c r="G91" s="117"/>
      <c r="I91" s="117"/>
      <c r="J91" s="117"/>
      <c r="K91" s="117"/>
      <c r="L91" s="117"/>
      <c r="M91" s="125"/>
      <c r="N91" s="125"/>
      <c r="O91" s="111"/>
    </row>
    <row r="92" spans="1:15" x14ac:dyDescent="0.35">
      <c r="A92" s="127"/>
      <c r="B92" s="118"/>
      <c r="C92" s="117"/>
      <c r="E92" s="117"/>
      <c r="F92" s="117"/>
      <c r="G92" s="117"/>
      <c r="I92" s="117"/>
      <c r="J92" s="117"/>
      <c r="K92" s="117"/>
      <c r="L92" s="117"/>
      <c r="M92" s="125"/>
      <c r="N92" s="125"/>
      <c r="O92" s="111"/>
    </row>
    <row r="93" spans="1:15" x14ac:dyDescent="0.35">
      <c r="A93" s="127"/>
      <c r="B93" s="118"/>
      <c r="C93" s="117"/>
      <c r="E93" s="117"/>
      <c r="F93" s="117"/>
      <c r="G93" s="117"/>
      <c r="I93" s="117"/>
      <c r="J93" s="117"/>
      <c r="K93" s="117"/>
      <c r="L93" s="117"/>
      <c r="M93" s="125"/>
      <c r="N93" s="125"/>
      <c r="O93" s="111"/>
    </row>
    <row r="94" spans="1:15" x14ac:dyDescent="0.35">
      <c r="A94" s="127"/>
      <c r="B94" s="118"/>
      <c r="C94" s="117"/>
      <c r="E94" s="117"/>
      <c r="F94" s="117"/>
      <c r="G94" s="117"/>
      <c r="I94" s="117"/>
      <c r="J94" s="117"/>
      <c r="K94" s="117"/>
      <c r="L94" s="117"/>
      <c r="M94" s="125"/>
      <c r="N94" s="125"/>
      <c r="O94" s="111"/>
    </row>
    <row r="95" spans="1:15" x14ac:dyDescent="0.35">
      <c r="A95" s="127"/>
      <c r="B95" s="118"/>
      <c r="C95" s="117"/>
      <c r="E95" s="117"/>
      <c r="F95" s="117"/>
      <c r="G95" s="117"/>
      <c r="I95" s="117"/>
      <c r="J95" s="117"/>
      <c r="K95" s="117"/>
      <c r="L95" s="117"/>
      <c r="M95" s="125"/>
      <c r="N95" s="125"/>
      <c r="O95" s="111"/>
    </row>
    <row r="96" spans="1:15" x14ac:dyDescent="0.35">
      <c r="A96" s="127"/>
      <c r="B96" s="118"/>
      <c r="C96" s="117"/>
      <c r="E96" s="117"/>
      <c r="F96" s="117"/>
      <c r="G96" s="117"/>
      <c r="I96" s="117"/>
      <c r="J96" s="117"/>
      <c r="K96" s="117"/>
      <c r="L96" s="117"/>
      <c r="M96" s="125"/>
      <c r="N96" s="125"/>
      <c r="O96" s="111"/>
    </row>
    <row r="97" spans="1:15" x14ac:dyDescent="0.35">
      <c r="A97" s="127"/>
      <c r="B97" s="118"/>
      <c r="C97" s="117"/>
      <c r="E97" s="117"/>
      <c r="F97" s="117"/>
      <c r="G97" s="117"/>
      <c r="I97" s="117"/>
      <c r="J97" s="117"/>
      <c r="K97" s="117"/>
      <c r="L97" s="117"/>
      <c r="M97" s="125"/>
      <c r="N97" s="125"/>
      <c r="O97" s="111"/>
    </row>
    <row r="98" spans="1:15" x14ac:dyDescent="0.35">
      <c r="A98" s="127"/>
      <c r="B98" s="118"/>
      <c r="C98" s="117"/>
      <c r="E98" s="117"/>
      <c r="F98" s="117"/>
      <c r="G98" s="117"/>
      <c r="I98" s="117"/>
      <c r="J98" s="117"/>
      <c r="K98" s="117"/>
      <c r="L98" s="117"/>
      <c r="M98" s="125"/>
      <c r="N98" s="125"/>
      <c r="O98" s="111"/>
    </row>
    <row r="99" spans="1:15" x14ac:dyDescent="0.35">
      <c r="A99" s="127"/>
      <c r="B99" s="118"/>
      <c r="C99" s="117"/>
      <c r="E99" s="117"/>
      <c r="F99" s="117"/>
      <c r="G99" s="117"/>
      <c r="I99" s="117"/>
      <c r="J99" s="117"/>
      <c r="K99" s="117"/>
      <c r="L99" s="117"/>
      <c r="M99" s="125"/>
      <c r="N99" s="125"/>
      <c r="O99" s="111"/>
    </row>
    <row r="100" spans="1:15" x14ac:dyDescent="0.35">
      <c r="A100" s="127"/>
      <c r="B100" s="118"/>
      <c r="C100" s="117"/>
      <c r="E100" s="117"/>
      <c r="F100" s="117"/>
      <c r="G100" s="117"/>
      <c r="I100" s="117"/>
      <c r="J100" s="117"/>
      <c r="K100" s="117"/>
      <c r="L100" s="117"/>
      <c r="M100" s="125"/>
      <c r="N100" s="125"/>
      <c r="O100" s="111"/>
    </row>
    <row r="101" spans="1:15" x14ac:dyDescent="0.35">
      <c r="A101" s="127"/>
      <c r="B101" s="118"/>
      <c r="C101" s="117"/>
      <c r="E101" s="117"/>
      <c r="F101" s="117"/>
      <c r="G101" s="117"/>
      <c r="I101" s="117"/>
      <c r="J101" s="117"/>
      <c r="K101" s="117"/>
      <c r="L101" s="117"/>
      <c r="M101" s="125"/>
      <c r="N101" s="125"/>
      <c r="O101" s="111"/>
    </row>
    <row r="102" spans="1:15" x14ac:dyDescent="0.35">
      <c r="B102" s="114"/>
      <c r="C102" s="117"/>
      <c r="E102" s="117"/>
      <c r="F102" s="117"/>
      <c r="G102" s="117"/>
      <c r="H102" s="118"/>
      <c r="I102" s="117"/>
      <c r="J102" s="117"/>
      <c r="K102" s="117"/>
      <c r="L102" s="117"/>
      <c r="M102" s="125"/>
      <c r="N102" s="125"/>
      <c r="O102" s="111"/>
    </row>
    <row r="103" spans="1:15" x14ac:dyDescent="0.35">
      <c r="A103" s="112" t="str">
        <f>'CAR FFA '!A56</f>
        <v>3) Arun River at Turkeghat (604.5)</v>
      </c>
      <c r="B103" s="114"/>
      <c r="C103" s="117"/>
      <c r="E103" s="117"/>
      <c r="F103" s="117"/>
      <c r="G103" s="117"/>
      <c r="H103" s="118"/>
      <c r="I103" s="117"/>
      <c r="J103" s="117"/>
      <c r="K103" s="117"/>
      <c r="L103" s="117"/>
      <c r="M103" s="125"/>
      <c r="N103" s="125"/>
      <c r="O103" s="111"/>
    </row>
    <row r="104" spans="1:15" x14ac:dyDescent="0.35">
      <c r="B104" s="118"/>
      <c r="C104" s="118"/>
      <c r="E104" s="118"/>
      <c r="F104" s="118"/>
      <c r="G104" s="118"/>
      <c r="H104" s="118"/>
      <c r="I104" s="118"/>
      <c r="J104" s="118"/>
      <c r="K104" s="118"/>
      <c r="L104" s="118"/>
      <c r="M104" s="125"/>
      <c r="N104" s="125"/>
      <c r="O104" s="111"/>
    </row>
    <row r="105" spans="1:15" x14ac:dyDescent="0.35">
      <c r="A105" s="353" t="s">
        <v>0</v>
      </c>
      <c r="B105" s="351" t="s">
        <v>1</v>
      </c>
      <c r="C105" s="351"/>
      <c r="D105" s="351"/>
      <c r="E105" s="351"/>
      <c r="F105" s="351"/>
      <c r="G105" s="351"/>
      <c r="H105" s="351"/>
      <c r="I105" s="351"/>
      <c r="J105" s="351"/>
      <c r="K105" s="351"/>
      <c r="L105" s="351"/>
      <c r="M105" s="351"/>
      <c r="N105" s="351"/>
      <c r="O105" s="111"/>
    </row>
    <row r="106" spans="1:15" x14ac:dyDescent="0.35">
      <c r="A106" s="353"/>
      <c r="B106" s="302">
        <v>1</v>
      </c>
      <c r="C106" s="302">
        <v>2</v>
      </c>
      <c r="D106" s="302">
        <v>2.33</v>
      </c>
      <c r="E106" s="302">
        <v>5</v>
      </c>
      <c r="F106" s="302">
        <v>10</v>
      </c>
      <c r="G106" s="302">
        <v>20</v>
      </c>
      <c r="H106" s="302">
        <v>50</v>
      </c>
      <c r="I106" s="302">
        <v>100</v>
      </c>
      <c r="J106" s="302">
        <v>200</v>
      </c>
      <c r="K106" s="302">
        <v>500</v>
      </c>
      <c r="L106" s="302">
        <v>1000</v>
      </c>
      <c r="M106" s="302">
        <v>5000</v>
      </c>
      <c r="N106" s="302">
        <v>10000</v>
      </c>
      <c r="O106" s="111"/>
    </row>
    <row r="107" spans="1:15" x14ac:dyDescent="0.35">
      <c r="A107" s="115" t="s">
        <v>8</v>
      </c>
      <c r="B107" s="123">
        <f>+INDEX('Arun River at Turkeghat (604.5)'!$F$55:$F$67,'Regional regression analysis'!B202,)</f>
        <v>1264.0411211807627</v>
      </c>
      <c r="C107" s="123">
        <f>+INDEX('Arun River at Turkeghat (604.5)'!$F$55:$F$67,'Regional regression analysis'!C202,)</f>
        <v>2843.0881875132391</v>
      </c>
      <c r="D107" s="123">
        <f>+INDEX('Arun River at Turkeghat (604.5)'!$F$55:$F$67,'Regional regression analysis'!D202,)</f>
        <v>3011.0224291771879</v>
      </c>
      <c r="E107" s="123">
        <f>+INDEX('Arun River at Turkeghat (604.5)'!$F$55:$F$67,'Regional regression analysis'!E202,)</f>
        <v>3728.5968585209721</v>
      </c>
      <c r="F107" s="123">
        <f>+INDEX('Arun River at Turkeghat (604.5)'!$F$55:$F$67,'Regional regression analysis'!F202,)</f>
        <v>4296.925608290333</v>
      </c>
      <c r="G107" s="123">
        <f>+INDEX('Arun River at Turkeghat (604.5)'!$F$55:$F$67,'Regional regression analysis'!G202,)</f>
        <v>4830.8568187083038</v>
      </c>
      <c r="H107" s="123">
        <f>+INDEX('Arun River at Turkeghat (604.5)'!$F$55:$F$67,'Regional regression analysis'!H202,)</f>
        <v>5511.3377307575402</v>
      </c>
      <c r="I107" s="123">
        <f>+INDEX('Arun River at Turkeghat (604.5)'!$F$55:$F$67,'Regional regression analysis'!I202,)</f>
        <v>6017.3405872898466</v>
      </c>
      <c r="J107" s="123">
        <f>+INDEX('Arun River at Turkeghat (604.5)'!$F$55:$F$67,'Regional regression analysis'!J202,)</f>
        <v>6520.9830150438675</v>
      </c>
      <c r="K107" s="123">
        <f>+INDEX('Arun River at Turkeghat (604.5)'!$F$55:$F$67,'Regional regression analysis'!K202,)</f>
        <v>7188.083843681321</v>
      </c>
      <c r="L107" s="123">
        <f>+INDEX('Arun River at Turkeghat (604.5)'!$F$55:$F$67,'Regional regression analysis'!L202,)</f>
        <v>7696.3169096009533</v>
      </c>
      <c r="M107" s="123">
        <f>+INDEX('Arun River at Turkeghat (604.5)'!$F$55:$F$67,'Regional regression analysis'!M202,)</f>
        <v>8896.4682934901903</v>
      </c>
      <c r="N107" s="123">
        <f>+INDEX('Arun River at Turkeghat (604.5)'!$F$55:$F$67,'Regional regression analysis'!N202,)</f>
        <v>9424.3259575007178</v>
      </c>
      <c r="O107" s="111"/>
    </row>
    <row r="108" spans="1:15" x14ac:dyDescent="0.35">
      <c r="A108" s="120" t="s">
        <v>9</v>
      </c>
      <c r="B108" s="124">
        <f>+INDEX('Arun River at Turkeghat (604.5)'!$I$55:$I$67,'Regional regression analysis'!B202,)</f>
        <v>1374.5939705101855</v>
      </c>
      <c r="C108" s="124">
        <f>+INDEX('Arun River at Turkeghat (604.5)'!$I$55:$I$67,'Regional regression analysis'!C202,)</f>
        <v>2798.584155022234</v>
      </c>
      <c r="D108" s="124">
        <f>+INDEX('Arun River at Turkeghat (604.5)'!$I$55:$I$67,'Regional regression analysis'!D202,)</f>
        <v>2964.5585453983908</v>
      </c>
      <c r="E108" s="124">
        <f>+INDEX('Arun River at Turkeghat (604.5)'!$I$55:$I$67,'Regional regression analysis'!E202,)</f>
        <v>3707.1927614848119</v>
      </c>
      <c r="F108" s="124">
        <f>+INDEX('Arun River at Turkeghat (604.5)'!$I$55:$I$67,'Regional regression analysis'!F202,)</f>
        <v>4334.4680606506599</v>
      </c>
      <c r="G108" s="124">
        <f>+INDEX('Arun River at Turkeghat (604.5)'!$I$55:$I$67,'Regional regression analysis'!G202,)</f>
        <v>4955.7672728051257</v>
      </c>
      <c r="H108" s="124">
        <f>+INDEX('Arun River at Turkeghat (604.5)'!$I$55:$I$67,'Regional regression analysis'!H202,)</f>
        <v>5793.0706203962409</v>
      </c>
      <c r="I108" s="124">
        <f>+INDEX('Arun River at Turkeghat (604.5)'!$I$55:$I$67,'Regional regression analysis'!I202,)</f>
        <v>6449.0721459088163</v>
      </c>
      <c r="J108" s="124">
        <f>+INDEX('Arun River at Turkeghat (604.5)'!$I$55:$I$67,'Regional regression analysis'!J202,)</f>
        <v>7130.5653035371224</v>
      </c>
      <c r="K108" s="124">
        <f>+INDEX('Arun River at Turkeghat (604.5)'!$I$55:$I$67,'Regional regression analysis'!K202,)</f>
        <v>8077.4973906914993</v>
      </c>
      <c r="L108" s="124">
        <f>+INDEX('Arun River at Turkeghat (604.5)'!$I$55:$I$67,'Regional regression analysis'!L202,)</f>
        <v>8833.080041107647</v>
      </c>
      <c r="M108" s="124">
        <f>+INDEX('Arun River at Turkeghat (604.5)'!$I$55:$I$67,'Regional regression analysis'!M202,)</f>
        <v>10736.078061451466</v>
      </c>
      <c r="N108" s="124">
        <f>+INDEX('Arun River at Turkeghat (604.5)'!$I$55:$I$67,'Regional regression analysis'!N202,)</f>
        <v>11626.531655402445</v>
      </c>
      <c r="O108" s="111"/>
    </row>
    <row r="109" spans="1:15" x14ac:dyDescent="0.35">
      <c r="A109" s="115" t="s">
        <v>7</v>
      </c>
      <c r="B109" s="123" t="s">
        <v>73</v>
      </c>
      <c r="C109" s="123">
        <f>+INDEX('Arun River at Turkeghat (604.5)'!$K$55:$K$67,'Regional regression analysis'!C202,)</f>
        <v>2825.3623019180159</v>
      </c>
      <c r="D109" s="123">
        <f>+INDEX('Arun River at Turkeghat (604.5)'!$K$55:$K$67,'Regional regression analysis'!D202,)</f>
        <v>2995.3354945597016</v>
      </c>
      <c r="E109" s="123">
        <f>+INDEX('Arun River at Turkeghat (604.5)'!$K$55:$K$67,'Regional regression analysis'!E202,)</f>
        <v>3733.7761157448676</v>
      </c>
      <c r="F109" s="123">
        <f>+INDEX('Arun River at Turkeghat (604.5)'!$K$55:$K$67,'Regional regression analysis'!F202,)</f>
        <v>4335.2251041923164</v>
      </c>
      <c r="G109" s="123">
        <f>+INDEX('Arun River at Turkeghat (604.5)'!$K$55:$K$67,'Regional regression analysis'!G202,)</f>
        <v>4912.1494138284379</v>
      </c>
      <c r="H109" s="123">
        <f>+INDEX('Arun River at Turkeghat (604.5)'!$K$55:$K$67,'Regional regression analysis'!H202,)</f>
        <v>5658.9187550930619</v>
      </c>
      <c r="I109" s="123">
        <f>+INDEX('Arun River at Turkeghat (604.5)'!$K$55:$K$67,'Regional regression analysis'!I202,)</f>
        <v>6218.5172900333837</v>
      </c>
      <c r="J109" s="123">
        <f>+INDEX('Arun River at Turkeghat (604.5)'!$K$55:$K$67,'Regional regression analysis'!J202,)</f>
        <v>6776.0739439194822</v>
      </c>
      <c r="K109" s="123">
        <f>+INDEX('Arun River at Turkeghat (604.5)'!$K$55:$K$67,'Regional regression analysis'!K202,)</f>
        <v>7511.6640772067476</v>
      </c>
      <c r="L109" s="123">
        <f>+INDEX('Arun River at Turkeghat (604.5)'!$K$55:$K$67,'Regional regression analysis'!L202,)</f>
        <v>8067.6056707158459</v>
      </c>
      <c r="M109" s="123">
        <f>+INDEX('Arun River at Turkeghat (604.5)'!$K$55:$K$67,'Regional regression analysis'!M202,)</f>
        <v>9357.851177561377</v>
      </c>
      <c r="N109" s="123">
        <f>+INDEX('Arun River at Turkeghat (604.5)'!$K$55:$K$67,'Regional regression analysis'!N202,)</f>
        <v>9913.4316105652633</v>
      </c>
      <c r="O109" s="111"/>
    </row>
    <row r="110" spans="1:15" x14ac:dyDescent="0.35">
      <c r="A110" s="118"/>
      <c r="B110" s="117"/>
      <c r="C110" s="117"/>
      <c r="E110" s="117"/>
      <c r="F110" s="117"/>
      <c r="G110" s="117"/>
      <c r="H110" s="117"/>
      <c r="I110" s="117"/>
      <c r="J110" s="117"/>
      <c r="K110" s="117"/>
      <c r="L110" s="117"/>
      <c r="M110" s="125"/>
      <c r="N110" s="125"/>
      <c r="O110" s="111"/>
    </row>
    <row r="111" spans="1:15" x14ac:dyDescent="0.35">
      <c r="A111" s="118"/>
      <c r="B111" s="117"/>
      <c r="C111" s="117"/>
      <c r="E111" s="117"/>
      <c r="F111" s="117"/>
      <c r="G111" s="117"/>
      <c r="H111" s="117"/>
      <c r="I111" s="117"/>
      <c r="J111" s="117"/>
      <c r="K111" s="117"/>
      <c r="L111" s="117"/>
      <c r="M111" s="125"/>
      <c r="N111" s="125"/>
      <c r="O111" s="111"/>
    </row>
    <row r="112" spans="1:15" x14ac:dyDescent="0.35">
      <c r="A112" s="118"/>
      <c r="B112" s="117"/>
      <c r="C112" s="117"/>
      <c r="E112" s="117"/>
      <c r="F112" s="117"/>
      <c r="G112" s="117"/>
      <c r="H112" s="117"/>
      <c r="I112" s="117"/>
      <c r="J112" s="117"/>
      <c r="K112" s="117"/>
      <c r="L112" s="117"/>
      <c r="M112" s="125"/>
      <c r="N112" s="125"/>
      <c r="O112" s="111"/>
    </row>
    <row r="113" spans="1:15" x14ac:dyDescent="0.35">
      <c r="A113" s="118"/>
      <c r="B113" s="117"/>
      <c r="C113" s="117"/>
      <c r="E113" s="117"/>
      <c r="F113" s="117"/>
      <c r="G113" s="117"/>
      <c r="H113" s="117"/>
      <c r="I113" s="117"/>
      <c r="J113" s="117"/>
      <c r="K113" s="117"/>
      <c r="L113" s="117"/>
      <c r="M113" s="125"/>
      <c r="N113" s="125"/>
      <c r="O113" s="111"/>
    </row>
    <row r="114" spans="1:15" x14ac:dyDescent="0.35">
      <c r="A114" s="118"/>
      <c r="B114" s="117"/>
      <c r="C114" s="117"/>
      <c r="E114" s="117"/>
      <c r="F114" s="117"/>
      <c r="G114" s="117"/>
      <c r="H114" s="117"/>
      <c r="I114" s="117"/>
      <c r="J114" s="117"/>
      <c r="K114" s="117"/>
      <c r="L114" s="117"/>
      <c r="M114" s="125"/>
      <c r="N114" s="125"/>
      <c r="O114" s="111"/>
    </row>
    <row r="115" spans="1:15" x14ac:dyDescent="0.35">
      <c r="A115" s="118"/>
      <c r="B115" s="117"/>
      <c r="C115" s="117"/>
      <c r="E115" s="117"/>
      <c r="F115" s="117"/>
      <c r="G115" s="117"/>
      <c r="H115" s="117"/>
      <c r="I115" s="117"/>
      <c r="J115" s="117"/>
      <c r="K115" s="117"/>
      <c r="L115" s="117"/>
      <c r="M115" s="125"/>
      <c r="N115" s="125"/>
      <c r="O115" s="111"/>
    </row>
    <row r="116" spans="1:15" x14ac:dyDescent="0.35">
      <c r="A116" s="118"/>
      <c r="B116" s="117"/>
      <c r="C116" s="117"/>
      <c r="E116" s="117"/>
      <c r="F116" s="117"/>
      <c r="G116" s="117"/>
      <c r="H116" s="117"/>
      <c r="I116" s="117"/>
      <c r="J116" s="117"/>
      <c r="K116" s="117"/>
      <c r="L116" s="117"/>
      <c r="M116" s="125"/>
      <c r="N116" s="125"/>
      <c r="O116" s="111"/>
    </row>
    <row r="117" spans="1:15" x14ac:dyDescent="0.35">
      <c r="A117" s="118"/>
      <c r="B117" s="117"/>
      <c r="C117" s="117"/>
      <c r="E117" s="117"/>
      <c r="F117" s="117"/>
      <c r="G117" s="117"/>
      <c r="H117" s="117"/>
      <c r="I117" s="117"/>
      <c r="J117" s="117"/>
      <c r="K117" s="117"/>
      <c r="L117" s="117"/>
      <c r="M117" s="125"/>
      <c r="N117" s="125"/>
      <c r="O117" s="111"/>
    </row>
    <row r="118" spans="1:15" x14ac:dyDescent="0.35">
      <c r="A118" s="118"/>
      <c r="B118" s="117"/>
      <c r="C118" s="117"/>
      <c r="E118" s="117"/>
      <c r="F118" s="117"/>
      <c r="G118" s="117"/>
      <c r="H118" s="117"/>
      <c r="I118" s="117"/>
      <c r="J118" s="117"/>
      <c r="K118" s="117"/>
      <c r="L118" s="117"/>
      <c r="M118" s="125"/>
      <c r="N118" s="125"/>
      <c r="O118" s="111"/>
    </row>
    <row r="119" spans="1:15" x14ac:dyDescent="0.35">
      <c r="A119" s="118"/>
      <c r="B119" s="117"/>
      <c r="C119" s="117"/>
      <c r="E119" s="117"/>
      <c r="F119" s="117"/>
      <c r="G119" s="117"/>
      <c r="H119" s="117"/>
      <c r="I119" s="117"/>
      <c r="J119" s="117"/>
      <c r="K119" s="117"/>
      <c r="L119" s="117"/>
      <c r="M119" s="125"/>
      <c r="N119" s="125"/>
      <c r="O119" s="111"/>
    </row>
    <row r="120" spans="1:15" x14ac:dyDescent="0.35">
      <c r="A120" s="118"/>
      <c r="B120" s="117"/>
      <c r="C120" s="117"/>
      <c r="E120" s="117"/>
      <c r="F120" s="117"/>
      <c r="G120" s="117"/>
      <c r="H120" s="117"/>
      <c r="I120" s="117"/>
      <c r="J120" s="117"/>
      <c r="K120" s="117"/>
      <c r="L120" s="117"/>
      <c r="M120" s="125"/>
      <c r="N120" s="125"/>
      <c r="O120" s="111"/>
    </row>
    <row r="121" spans="1:15" x14ac:dyDescent="0.35">
      <c r="A121" s="118"/>
      <c r="B121" s="117"/>
      <c r="C121" s="117"/>
      <c r="E121" s="117"/>
      <c r="F121" s="117"/>
      <c r="G121" s="117"/>
      <c r="H121" s="117"/>
      <c r="I121" s="117"/>
      <c r="J121" s="117"/>
      <c r="K121" s="117"/>
      <c r="L121" s="117"/>
      <c r="M121" s="125"/>
      <c r="N121" s="125"/>
      <c r="O121" s="111"/>
    </row>
    <row r="122" spans="1:15" x14ac:dyDescent="0.35">
      <c r="A122" s="118"/>
      <c r="B122" s="117"/>
      <c r="C122" s="117"/>
      <c r="E122" s="117"/>
      <c r="F122" s="117"/>
      <c r="G122" s="117"/>
      <c r="H122" s="117"/>
      <c r="I122" s="117"/>
      <c r="J122" s="117"/>
      <c r="K122" s="117"/>
      <c r="L122" s="117"/>
      <c r="M122" s="125"/>
      <c r="N122" s="125"/>
      <c r="O122" s="111"/>
    </row>
    <row r="123" spans="1:15" x14ac:dyDescent="0.35">
      <c r="A123" s="127"/>
      <c r="B123" s="118"/>
      <c r="C123" s="117"/>
      <c r="E123" s="117"/>
      <c r="F123" s="117"/>
      <c r="G123" s="117"/>
      <c r="H123" s="117"/>
      <c r="I123" s="117"/>
      <c r="J123" s="117"/>
      <c r="K123" s="117"/>
      <c r="L123" s="117"/>
      <c r="M123" s="125"/>
      <c r="N123" s="125"/>
      <c r="O123" s="111"/>
    </row>
    <row r="124" spans="1:15" x14ac:dyDescent="0.35">
      <c r="M124" s="125"/>
      <c r="N124" s="125"/>
      <c r="O124" s="111"/>
    </row>
    <row r="125" spans="1:15" x14ac:dyDescent="0.35">
      <c r="M125" s="125"/>
      <c r="N125" s="125"/>
      <c r="O125" s="111"/>
    </row>
    <row r="126" spans="1:15" x14ac:dyDescent="0.35">
      <c r="A126" s="112" t="str">
        <f>'Regional flood frequency analys'!A122</f>
        <v>4)Arun River at Uwa gaon (600.1)</v>
      </c>
      <c r="B126" s="114"/>
      <c r="C126" s="117"/>
      <c r="E126" s="117"/>
      <c r="F126" s="117"/>
      <c r="G126" s="117"/>
      <c r="H126" s="117"/>
      <c r="I126" s="117"/>
      <c r="J126" s="117"/>
      <c r="K126" s="117"/>
      <c r="L126" s="117"/>
      <c r="M126" s="125"/>
      <c r="N126" s="125"/>
      <c r="O126" s="111"/>
    </row>
    <row r="127" spans="1:15" x14ac:dyDescent="0.35">
      <c r="B127" s="118"/>
      <c r="C127" s="118"/>
      <c r="E127" s="118"/>
      <c r="F127" s="118"/>
      <c r="G127" s="118"/>
      <c r="H127" s="118"/>
      <c r="I127" s="118"/>
      <c r="J127" s="118"/>
      <c r="K127" s="118"/>
      <c r="L127" s="118"/>
      <c r="M127" s="125"/>
      <c r="N127" s="125"/>
      <c r="O127" s="111"/>
    </row>
    <row r="128" spans="1:15" x14ac:dyDescent="0.35">
      <c r="A128" s="353" t="s">
        <v>0</v>
      </c>
      <c r="B128" s="351" t="s">
        <v>1</v>
      </c>
      <c r="C128" s="351"/>
      <c r="D128" s="351"/>
      <c r="E128" s="351"/>
      <c r="F128" s="351"/>
      <c r="G128" s="351"/>
      <c r="H128" s="351"/>
      <c r="I128" s="351"/>
      <c r="J128" s="351"/>
      <c r="K128" s="351"/>
      <c r="L128" s="351"/>
      <c r="M128" s="351"/>
      <c r="N128" s="351"/>
      <c r="O128" s="111"/>
    </row>
    <row r="129" spans="1:15" x14ac:dyDescent="0.35">
      <c r="A129" s="353"/>
      <c r="B129" s="302">
        <v>1</v>
      </c>
      <c r="C129" s="302">
        <v>2</v>
      </c>
      <c r="D129" s="302">
        <v>2.33</v>
      </c>
      <c r="E129" s="302">
        <v>5</v>
      </c>
      <c r="F129" s="302">
        <v>10</v>
      </c>
      <c r="G129" s="302">
        <v>20</v>
      </c>
      <c r="H129" s="302">
        <v>50</v>
      </c>
      <c r="I129" s="302">
        <v>100</v>
      </c>
      <c r="J129" s="302">
        <v>200</v>
      </c>
      <c r="K129" s="302">
        <v>500</v>
      </c>
      <c r="L129" s="302">
        <v>1000</v>
      </c>
      <c r="M129" s="302">
        <v>5000</v>
      </c>
      <c r="N129" s="302">
        <v>10000</v>
      </c>
      <c r="O129" s="111"/>
    </row>
    <row r="130" spans="1:15" x14ac:dyDescent="0.35">
      <c r="A130" s="120" t="s">
        <v>8</v>
      </c>
      <c r="B130" s="124">
        <f>+INDEX('Arun River at Uwa Gaon (600.1)'!$F$47:$F$59,'Regional regression analysis'!B202,)</f>
        <v>858.40324096909444</v>
      </c>
      <c r="C130" s="124">
        <f>+INDEX('Arun River at Uwa Gaon (600.1)'!$F$47:$F$59,'Regional regression analysis'!C202,)</f>
        <v>1352.3130563300926</v>
      </c>
      <c r="D130" s="124">
        <f>+INDEX('Arun River at Uwa Gaon (600.1)'!$F$47:$F$59,'Regional regression analysis'!D202,)</f>
        <v>1396.5360814671876</v>
      </c>
      <c r="E130" s="124">
        <f>+INDEX('Arun River at Uwa Gaon (600.1)'!$F$47:$F$59,'Regional regression analysis'!E202,)</f>
        <v>1574.3583134793946</v>
      </c>
      <c r="F130" s="124">
        <f>+INDEX('Arun River at Uwa Gaon (600.1)'!$F$47:$F$59,'Regional regression analysis'!F202,)</f>
        <v>1704.7088299448419</v>
      </c>
      <c r="G130" s="124">
        <f>+INDEX('Arun River at Uwa Gaon (600.1)'!$F$47:$F$59,'Regional regression analysis'!G202,)</f>
        <v>1820.4192485747451</v>
      </c>
      <c r="H130" s="124">
        <f>+INDEX('Arun River at Uwa Gaon (600.1)'!$F$47:$F$59,'Regional regression analysis'!H202,)</f>
        <v>1960.0285482679385</v>
      </c>
      <c r="I130" s="124">
        <f>+INDEX('Arun River at Uwa Gaon (600.1)'!$F$47:$F$59,'Regional regression analysis'!I202,)</f>
        <v>2058.979777402631</v>
      </c>
      <c r="J130" s="124">
        <f>+INDEX('Arun River at Uwa Gaon (600.1)'!$F$47:$F$59,'Regional regression analysis'!J202,)</f>
        <v>2153.9002002338152</v>
      </c>
      <c r="K130" s="124">
        <f>+INDEX('Arun River at Uwa Gaon (600.1)'!$F$47:$F$59,'Regional regression analysis'!K202,)</f>
        <v>2274.8020077592519</v>
      </c>
      <c r="L130" s="124">
        <f>+INDEX('Arun River at Uwa Gaon (600.1)'!$F$47:$F$59,'Regional regression analysis'!L202,)</f>
        <v>2363.6312901426136</v>
      </c>
      <c r="M130" s="124">
        <f>+INDEX('Arun River at Uwa Gaon (600.1)'!$F$47:$F$59,'Regional regression analysis'!M202,)</f>
        <v>2563.7033916840105</v>
      </c>
      <c r="N130" s="124">
        <f>+INDEX('Arun River at Uwa Gaon (600.1)'!$F$47:$F$59,'Regional regression analysis'!N202,)</f>
        <v>2647.9136411604873</v>
      </c>
      <c r="O130" s="111"/>
    </row>
    <row r="131" spans="1:15" x14ac:dyDescent="0.35">
      <c r="A131" s="115" t="s">
        <v>9</v>
      </c>
      <c r="B131" s="123">
        <f>+INDEX('Arun River at Uwa Gaon (600.1)'!$I$47:$I$59,'Regional regression analysis'!B202,)</f>
        <v>797.65378680706385</v>
      </c>
      <c r="C131" s="123">
        <f>+INDEX('Arun River at Uwa Gaon (600.1)'!$I$47:$I$59,'Regional regression analysis'!C202,)</f>
        <v>1370.9925128635991</v>
      </c>
      <c r="D131" s="123">
        <f>+INDEX('Arun River at Uwa Gaon (600.1)'!$I$47:$I$59,'Regional regression analysis'!D202,)</f>
        <v>1414.683721109458</v>
      </c>
      <c r="E131" s="123">
        <f>+INDEX('Arun River at Uwa Gaon (600.1)'!$I$47:$I$59,'Regional regression analysis'!E202,)</f>
        <v>1578.2140854157904</v>
      </c>
      <c r="F131" s="123">
        <f>+INDEX('Arun River at Uwa Gaon (600.1)'!$I$47:$I$59,'Regional regression analysis'!F202,)</f>
        <v>1686.4433483883608</v>
      </c>
      <c r="G131" s="123">
        <f>+INDEX('Arun River at Uwa Gaon (600.1)'!$I$47:$I$59,'Regional regression analysis'!G202,)</f>
        <v>1774.9282537674003</v>
      </c>
      <c r="H131" s="123">
        <f>+INDEX('Arun River at Uwa Gaon (600.1)'!$I$47:$I$59,'Regional regression analysis'!H202,)</f>
        <v>1872.9554232804892</v>
      </c>
      <c r="I131" s="123">
        <f>+INDEX('Arun River at Uwa Gaon (600.1)'!$I$47:$I$59,'Regional regression analysis'!I202,)</f>
        <v>1937.1025211702602</v>
      </c>
      <c r="J131" s="123">
        <f>+INDEX('Arun River at Uwa Gaon (600.1)'!$I$47:$I$59,'Regional regression analysis'!J202,)</f>
        <v>1994.7951853780989</v>
      </c>
      <c r="K131" s="123">
        <f>+INDEX('Arun River at Uwa Gaon (600.1)'!$I$47:$I$59,'Regional regression analysis'!K202,)</f>
        <v>2063.2279532432244</v>
      </c>
      <c r="L131" s="123">
        <f>+INDEX('Arun River at Uwa Gaon (600.1)'!$I$47:$I$59,'Regional regression analysis'!L202,)</f>
        <v>2110.1564854491958</v>
      </c>
      <c r="M131" s="123">
        <f>+INDEX('Arun River at Uwa Gaon (600.1)'!$I$47:$I$59,'Regional regression analysis'!M202,)</f>
        <v>2206.4382310925798</v>
      </c>
      <c r="N131" s="123">
        <f>+INDEX('Arun River at Uwa Gaon (600.1)'!$I$47:$I$59,'Regional regression analysis'!N202,)</f>
        <v>2243.4002477403246</v>
      </c>
      <c r="O131" s="111"/>
    </row>
    <row r="132" spans="1:15" x14ac:dyDescent="0.35">
      <c r="A132" s="115" t="s">
        <v>7</v>
      </c>
      <c r="B132" s="123" t="s">
        <v>73</v>
      </c>
      <c r="C132" s="123">
        <f>+INDEX('Arun River at Uwa Gaon (600.1)'!$K$47:$K$59,'Regional regression analysis'!C202,)</f>
        <v>1333.6379986843704</v>
      </c>
      <c r="D132" s="123">
        <f>+INDEX('Arun River at Uwa Gaon (600.1)'!$K$47:$K$59,'Regional regression analysis'!D202,)</f>
        <v>1373.2970216638953</v>
      </c>
      <c r="E132" s="123">
        <f>+INDEX('Arun River at Uwa Gaon (600.1)'!$K$47:$K$59,'Regional regression analysis'!E202,)</f>
        <v>1545.5938004055492</v>
      </c>
      <c r="F132" s="123">
        <f>+INDEX('Arun River at Uwa Gaon (600.1)'!$K$47:$K$59,'Regional regression analysis'!F202,)</f>
        <v>1685.92698402782</v>
      </c>
      <c r="G132" s="123">
        <f>+INDEX('Arun River at Uwa Gaon (600.1)'!$K$47:$K$59,'Regional regression analysis'!G202,)</f>
        <v>1820.5379429543755</v>
      </c>
      <c r="H132" s="123">
        <f>+INDEX('Arun River at Uwa Gaon (600.1)'!$K$47:$K$59,'Regional regression analysis'!H202,)</f>
        <v>1994.778021671088</v>
      </c>
      <c r="I132" s="123">
        <f>+INDEX('Arun River at Uwa Gaon (600.1)'!$K$47:$K$59,'Regional regression analysis'!I202,)</f>
        <v>2125.3464413823722</v>
      </c>
      <c r="J132" s="123">
        <f>+INDEX('Arun River at Uwa Gaon (600.1)'!$K$47:$K$59,'Regional regression analysis'!J202,)</f>
        <v>2255.4384388626427</v>
      </c>
      <c r="K132" s="123">
        <f>+INDEX('Arun River at Uwa Gaon (600.1)'!$K$47:$K$59,'Regional regression analysis'!K202,)</f>
        <v>2427.0701270491995</v>
      </c>
      <c r="L132" s="123">
        <f>+INDEX('Arun River at Uwa Gaon (600.1)'!$K$47:$K$59,'Regional regression analysis'!L202,)</f>
        <v>2556.7852903027942</v>
      </c>
      <c r="M132" s="123">
        <f>+INDEX('Arun River at Uwa Gaon (600.1)'!$K$47:$K$59,'Regional regression analysis'!M202,)</f>
        <v>2857.8320342625011</v>
      </c>
      <c r="N132" s="123">
        <f>+INDEX('Arun River at Uwa Gaon (600.1)'!$K$47:$K$59,'Regional regression analysis'!N202,)</f>
        <v>2987.462929682134</v>
      </c>
      <c r="O132" s="111"/>
    </row>
    <row r="133" spans="1:15" x14ac:dyDescent="0.35">
      <c r="A133" s="127"/>
      <c r="B133" s="118"/>
      <c r="C133" s="117"/>
      <c r="E133" s="117"/>
      <c r="F133" s="117"/>
      <c r="G133" s="117"/>
      <c r="H133" s="117"/>
      <c r="I133" s="117"/>
      <c r="J133" s="117"/>
      <c r="K133" s="117"/>
      <c r="L133" s="117"/>
      <c r="M133" s="125"/>
      <c r="N133" s="125"/>
      <c r="O133" s="111"/>
    </row>
    <row r="134" spans="1:15" x14ac:dyDescent="0.35">
      <c r="A134" s="127"/>
      <c r="B134" s="118"/>
      <c r="C134" s="117"/>
      <c r="E134" s="117"/>
      <c r="F134" s="117"/>
      <c r="G134" s="117"/>
      <c r="H134" s="117"/>
      <c r="I134" s="117"/>
      <c r="J134" s="117"/>
      <c r="K134" s="117"/>
      <c r="L134" s="117"/>
      <c r="M134" s="125"/>
      <c r="N134" s="125"/>
      <c r="O134" s="111"/>
    </row>
    <row r="135" spans="1:15" x14ac:dyDescent="0.35">
      <c r="A135" s="127"/>
      <c r="B135" s="118"/>
      <c r="C135" s="117"/>
      <c r="E135" s="117"/>
      <c r="F135" s="117"/>
      <c r="G135" s="117"/>
      <c r="H135" s="117"/>
      <c r="I135" s="117"/>
      <c r="J135" s="117"/>
      <c r="K135" s="117"/>
      <c r="L135" s="117"/>
      <c r="M135" s="125"/>
      <c r="N135" s="125"/>
      <c r="O135" s="111"/>
    </row>
    <row r="136" spans="1:15" x14ac:dyDescent="0.35">
      <c r="A136" s="127"/>
      <c r="B136" s="118"/>
      <c r="C136" s="117"/>
      <c r="E136" s="117"/>
      <c r="F136" s="117"/>
      <c r="G136" s="117"/>
      <c r="H136" s="117"/>
      <c r="I136" s="117"/>
      <c r="J136" s="117"/>
      <c r="K136" s="117"/>
      <c r="L136" s="117"/>
      <c r="M136" s="125"/>
      <c r="N136" s="125"/>
      <c r="O136" s="111"/>
    </row>
    <row r="137" spans="1:15" x14ac:dyDescent="0.35">
      <c r="A137" s="127"/>
      <c r="B137" s="118"/>
      <c r="C137" s="117"/>
      <c r="E137" s="117"/>
      <c r="F137" s="117"/>
      <c r="G137" s="117"/>
      <c r="H137" s="117"/>
      <c r="I137" s="117"/>
      <c r="J137" s="117"/>
      <c r="K137" s="117"/>
      <c r="L137" s="117"/>
      <c r="M137" s="125"/>
      <c r="N137" s="125"/>
      <c r="O137" s="111"/>
    </row>
    <row r="138" spans="1:15" x14ac:dyDescent="0.35">
      <c r="A138" s="127"/>
      <c r="B138" s="118"/>
      <c r="C138" s="117"/>
      <c r="E138" s="117"/>
      <c r="F138" s="117"/>
      <c r="G138" s="117"/>
      <c r="H138" s="117"/>
      <c r="I138" s="117"/>
      <c r="J138" s="117"/>
      <c r="K138" s="117"/>
      <c r="L138" s="117"/>
      <c r="M138" s="125"/>
      <c r="N138" s="125"/>
      <c r="O138" s="111"/>
    </row>
    <row r="139" spans="1:15" x14ac:dyDescent="0.35">
      <c r="A139" s="127"/>
      <c r="B139" s="118"/>
      <c r="C139" s="117"/>
      <c r="E139" s="117"/>
      <c r="F139" s="117"/>
      <c r="G139" s="117"/>
      <c r="H139" s="117"/>
      <c r="I139" s="117"/>
      <c r="J139" s="117"/>
      <c r="K139" s="117"/>
      <c r="L139" s="117"/>
      <c r="M139" s="125"/>
      <c r="N139" s="125"/>
      <c r="O139" s="111"/>
    </row>
    <row r="140" spans="1:15" x14ac:dyDescent="0.35">
      <c r="A140" s="127"/>
      <c r="B140" s="118"/>
      <c r="C140" s="117"/>
      <c r="E140" s="117"/>
      <c r="F140" s="117"/>
      <c r="G140" s="117"/>
      <c r="H140" s="117"/>
      <c r="I140" s="117"/>
      <c r="J140" s="117"/>
      <c r="K140" s="117"/>
      <c r="L140" s="117"/>
      <c r="M140" s="125"/>
      <c r="N140" s="125"/>
      <c r="O140" s="111"/>
    </row>
    <row r="141" spans="1:15" x14ac:dyDescent="0.35">
      <c r="A141" s="127"/>
      <c r="B141" s="118"/>
      <c r="C141" s="117"/>
      <c r="E141" s="117"/>
      <c r="F141" s="117"/>
      <c r="G141" s="117"/>
      <c r="H141" s="117"/>
      <c r="I141" s="117"/>
      <c r="J141" s="117"/>
      <c r="K141" s="117"/>
      <c r="L141" s="117"/>
      <c r="M141" s="125"/>
      <c r="N141" s="125"/>
      <c r="O141" s="111"/>
    </row>
    <row r="142" spans="1:15" x14ac:dyDescent="0.35">
      <c r="A142" s="127"/>
      <c r="B142" s="118"/>
      <c r="C142" s="117"/>
      <c r="E142" s="117"/>
      <c r="F142" s="117"/>
      <c r="G142" s="117"/>
      <c r="H142" s="117"/>
      <c r="I142" s="117"/>
      <c r="J142" s="117"/>
      <c r="K142" s="117"/>
      <c r="L142" s="117"/>
      <c r="M142" s="125"/>
      <c r="N142" s="125"/>
      <c r="O142" s="111"/>
    </row>
    <row r="143" spans="1:15" x14ac:dyDescent="0.35">
      <c r="L143" s="104"/>
      <c r="M143" s="125"/>
      <c r="N143" s="125"/>
      <c r="O143" s="111"/>
    </row>
    <row r="144" spans="1:15" x14ac:dyDescent="0.35">
      <c r="L144" s="104"/>
      <c r="M144" s="125"/>
      <c r="N144" s="125"/>
      <c r="O144" s="111"/>
    </row>
    <row r="145" spans="1:15" x14ac:dyDescent="0.35">
      <c r="L145" s="104"/>
      <c r="M145" s="125"/>
      <c r="N145" s="125"/>
      <c r="O145" s="111"/>
    </row>
    <row r="146" spans="1:15" x14ac:dyDescent="0.35">
      <c r="L146" s="104"/>
      <c r="M146" s="125"/>
      <c r="N146" s="125"/>
      <c r="O146" s="111"/>
    </row>
    <row r="147" spans="1:15" x14ac:dyDescent="0.35">
      <c r="L147" s="104"/>
      <c r="M147" s="125"/>
      <c r="N147" s="125"/>
      <c r="O147" s="111"/>
    </row>
    <row r="148" spans="1:15" hidden="1" x14ac:dyDescent="0.35">
      <c r="A148" s="112" t="s">
        <v>125</v>
      </c>
      <c r="B148" s="114"/>
      <c r="C148" s="117"/>
      <c r="E148" s="117"/>
      <c r="F148" s="117"/>
      <c r="G148" s="117"/>
      <c r="H148" s="117"/>
      <c r="I148" s="117"/>
      <c r="J148" s="117"/>
      <c r="K148" s="117"/>
      <c r="L148" s="117"/>
      <c r="M148" s="125"/>
      <c r="N148" s="125"/>
      <c r="O148" s="111"/>
    </row>
    <row r="149" spans="1:15" hidden="1" x14ac:dyDescent="0.35">
      <c r="B149" s="118"/>
      <c r="C149" s="118"/>
      <c r="E149" s="118"/>
      <c r="F149" s="118"/>
      <c r="G149" s="118"/>
      <c r="H149" s="118"/>
      <c r="I149" s="118"/>
      <c r="J149" s="118"/>
      <c r="K149" s="118"/>
      <c r="L149" s="118"/>
      <c r="M149" s="125"/>
      <c r="N149" s="125"/>
      <c r="O149" s="111"/>
    </row>
    <row r="150" spans="1:15" hidden="1" x14ac:dyDescent="0.35">
      <c r="A150" s="189" t="s">
        <v>0</v>
      </c>
      <c r="B150" s="349" t="s">
        <v>1</v>
      </c>
      <c r="C150" s="350"/>
      <c r="D150" s="350"/>
      <c r="E150" s="350"/>
      <c r="F150" s="350"/>
      <c r="G150" s="350"/>
      <c r="H150" s="350"/>
      <c r="I150" s="350"/>
      <c r="J150" s="350"/>
      <c r="K150" s="350"/>
      <c r="L150" s="350"/>
      <c r="M150" s="350"/>
      <c r="N150" s="350"/>
      <c r="O150" s="111"/>
    </row>
    <row r="151" spans="1:15" hidden="1" x14ac:dyDescent="0.35">
      <c r="A151" s="190"/>
      <c r="B151" s="192">
        <v>1</v>
      </c>
      <c r="C151" s="192">
        <v>2</v>
      </c>
      <c r="D151" s="192">
        <v>2.33</v>
      </c>
      <c r="E151" s="192">
        <v>5</v>
      </c>
      <c r="F151" s="192">
        <v>10</v>
      </c>
      <c r="G151" s="192">
        <v>20</v>
      </c>
      <c r="H151" s="192">
        <v>50</v>
      </c>
      <c r="I151" s="192">
        <v>100</v>
      </c>
      <c r="J151" s="192">
        <v>200</v>
      </c>
      <c r="K151" s="192">
        <v>500</v>
      </c>
      <c r="L151" s="191">
        <v>1000</v>
      </c>
      <c r="M151" s="192">
        <v>5000</v>
      </c>
      <c r="N151" s="192">
        <v>10000</v>
      </c>
      <c r="O151" s="111"/>
    </row>
    <row r="152" spans="1:15" hidden="1" x14ac:dyDescent="0.35">
      <c r="A152" s="115" t="s">
        <v>8</v>
      </c>
      <c r="B152" s="123" t="e">
        <f>+INDEX(#REF!,'Regional regression analysis'!B202,)</f>
        <v>#REF!</v>
      </c>
      <c r="C152" s="123" t="e">
        <f>+INDEX(#REF!,'Regional regression analysis'!C202,)</f>
        <v>#REF!</v>
      </c>
      <c r="D152" s="123" t="e">
        <f>+INDEX(#REF!,'Regional regression analysis'!D202,)</f>
        <v>#REF!</v>
      </c>
      <c r="E152" s="123" t="e">
        <f>+INDEX(#REF!,'Regional regression analysis'!E202,)</f>
        <v>#REF!</v>
      </c>
      <c r="F152" s="123" t="e">
        <f>+INDEX(#REF!,'Regional regression analysis'!F202,)</f>
        <v>#REF!</v>
      </c>
      <c r="G152" s="123" t="e">
        <f>+INDEX(#REF!,'Regional regression analysis'!G202,)</f>
        <v>#REF!</v>
      </c>
      <c r="H152" s="123" t="e">
        <f>+INDEX(#REF!,'Regional regression analysis'!H202,)</f>
        <v>#REF!</v>
      </c>
      <c r="I152" s="123" t="e">
        <f>+INDEX(#REF!,'Regional regression analysis'!I202,)</f>
        <v>#REF!</v>
      </c>
      <c r="J152" s="123" t="e">
        <f>+INDEX(#REF!,'Regional regression analysis'!J202,)</f>
        <v>#REF!</v>
      </c>
      <c r="K152" s="123" t="e">
        <f>+INDEX(#REF!,'Regional regression analysis'!K202,)</f>
        <v>#REF!</v>
      </c>
      <c r="L152" s="123" t="e">
        <f>+INDEX(#REF!,'Regional regression analysis'!L202,)</f>
        <v>#REF!</v>
      </c>
      <c r="M152" s="123" t="e">
        <f>+INDEX(#REF!,'Regional regression analysis'!M202,)</f>
        <v>#REF!</v>
      </c>
      <c r="N152" s="123" t="e">
        <f>+INDEX(#REF!,'Regional regression analysis'!N202,)</f>
        <v>#REF!</v>
      </c>
      <c r="O152" s="111"/>
    </row>
    <row r="153" spans="1:15" hidden="1" x14ac:dyDescent="0.35">
      <c r="A153" s="120" t="s">
        <v>9</v>
      </c>
      <c r="B153" s="124" t="e">
        <f>+INDEX(#REF!,'Regional regression analysis'!B202,)</f>
        <v>#REF!</v>
      </c>
      <c r="C153" s="124" t="e">
        <f>+INDEX(#REF!,'Regional regression analysis'!C202,)</f>
        <v>#REF!</v>
      </c>
      <c r="D153" s="124" t="e">
        <f>+INDEX(#REF!,'Regional regression analysis'!D202,)</f>
        <v>#REF!</v>
      </c>
      <c r="E153" s="124" t="e">
        <f>+INDEX(#REF!,'Regional regression analysis'!E202,)</f>
        <v>#REF!</v>
      </c>
      <c r="F153" s="124" t="e">
        <f>+INDEX(#REF!,'Regional regression analysis'!F202,)</f>
        <v>#REF!</v>
      </c>
      <c r="G153" s="124" t="e">
        <f>+INDEX(#REF!,'Regional regression analysis'!G202,)</f>
        <v>#REF!</v>
      </c>
      <c r="H153" s="124" t="e">
        <f>+INDEX(#REF!,'Regional regression analysis'!H202,)</f>
        <v>#REF!</v>
      </c>
      <c r="I153" s="124" t="e">
        <f>+INDEX(#REF!,'Regional regression analysis'!I202,)</f>
        <v>#REF!</v>
      </c>
      <c r="J153" s="124" t="e">
        <f>+INDEX(#REF!,'Regional regression analysis'!J202,)</f>
        <v>#REF!</v>
      </c>
      <c r="K153" s="124" t="e">
        <f>+INDEX(#REF!,'Regional regression analysis'!K202,)</f>
        <v>#REF!</v>
      </c>
      <c r="L153" s="124" t="e">
        <f>+INDEX(#REF!,'Regional regression analysis'!L202,)</f>
        <v>#REF!</v>
      </c>
      <c r="M153" s="124" t="e">
        <f>+INDEX(#REF!,'Regional regression analysis'!M202,)</f>
        <v>#REF!</v>
      </c>
      <c r="N153" s="124" t="e">
        <f>+INDEX(#REF!,'Regional regression analysis'!N202,)</f>
        <v>#REF!</v>
      </c>
      <c r="O153" s="111"/>
    </row>
    <row r="154" spans="1:15" hidden="1" x14ac:dyDescent="0.35">
      <c r="A154" s="148" t="s">
        <v>7</v>
      </c>
      <c r="B154" s="123" t="s">
        <v>73</v>
      </c>
      <c r="C154" s="123" t="e">
        <f>+INDEX(#REF!,'Regional regression analysis'!C202,)</f>
        <v>#REF!</v>
      </c>
      <c r="D154" s="123" t="e">
        <f>+INDEX(#REF!,'Regional regression analysis'!D202,)</f>
        <v>#REF!</v>
      </c>
      <c r="E154" s="123" t="e">
        <f>+INDEX(#REF!,'Regional regression analysis'!E202,)</f>
        <v>#REF!</v>
      </c>
      <c r="F154" s="123" t="e">
        <f>+INDEX(#REF!,'Regional regression analysis'!F202,)</f>
        <v>#REF!</v>
      </c>
      <c r="G154" s="123" t="e">
        <f>+INDEX(#REF!,'Regional regression analysis'!G202,)</f>
        <v>#REF!</v>
      </c>
      <c r="H154" s="123" t="e">
        <f>+INDEX(#REF!,'Regional regression analysis'!H202,)</f>
        <v>#REF!</v>
      </c>
      <c r="I154" s="123" t="e">
        <f>+INDEX(#REF!,'Regional regression analysis'!I202,)</f>
        <v>#REF!</v>
      </c>
      <c r="J154" s="123" t="e">
        <f>+INDEX(#REF!,'Regional regression analysis'!J202,)</f>
        <v>#REF!</v>
      </c>
      <c r="K154" s="123" t="e">
        <f>+INDEX(#REF!,'Regional regression analysis'!K202,)</f>
        <v>#REF!</v>
      </c>
      <c r="L154" s="123" t="e">
        <f>+INDEX(#REF!,'Regional regression analysis'!L202,)</f>
        <v>#REF!</v>
      </c>
      <c r="M154" s="123" t="e">
        <f>+INDEX(#REF!,'Regional regression analysis'!M202,)</f>
        <v>#REF!</v>
      </c>
      <c r="N154" s="123" t="e">
        <f>+INDEX(#REF!,'Regional regression analysis'!N202,)</f>
        <v>#REF!</v>
      </c>
      <c r="O154" s="111"/>
    </row>
    <row r="155" spans="1:15" hidden="1" x14ac:dyDescent="0.35">
      <c r="M155" s="125"/>
      <c r="N155" s="125"/>
      <c r="O155" s="111"/>
    </row>
    <row r="156" spans="1:15" hidden="1" x14ac:dyDescent="0.35">
      <c r="L156" s="104"/>
      <c r="M156" s="125"/>
      <c r="N156" s="125"/>
      <c r="O156" s="111"/>
    </row>
    <row r="157" spans="1:15" hidden="1" x14ac:dyDescent="0.35">
      <c r="L157" s="104"/>
      <c r="M157" s="125"/>
      <c r="N157" s="125"/>
      <c r="O157" s="111"/>
    </row>
    <row r="158" spans="1:15" hidden="1" x14ac:dyDescent="0.35">
      <c r="L158" s="104"/>
      <c r="M158" s="125"/>
      <c r="N158" s="125"/>
      <c r="O158" s="111"/>
    </row>
    <row r="159" spans="1:15" hidden="1" x14ac:dyDescent="0.35">
      <c r="L159" s="104"/>
      <c r="M159" s="125"/>
      <c r="N159" s="125"/>
      <c r="O159" s="111"/>
    </row>
    <row r="160" spans="1:15" hidden="1" x14ac:dyDescent="0.35">
      <c r="L160" s="104"/>
      <c r="M160" s="125"/>
      <c r="N160" s="125"/>
      <c r="O160" s="111"/>
    </row>
    <row r="161" spans="1:28" hidden="1" x14ac:dyDescent="0.35">
      <c r="L161" s="104"/>
      <c r="M161" s="125"/>
      <c r="N161" s="125"/>
      <c r="O161" s="111"/>
    </row>
    <row r="162" spans="1:28" hidden="1" x14ac:dyDescent="0.35">
      <c r="L162" s="104"/>
      <c r="M162" s="125"/>
      <c r="N162" s="125"/>
      <c r="O162" s="111"/>
    </row>
    <row r="163" spans="1:28" hidden="1" x14ac:dyDescent="0.35">
      <c r="L163" s="104"/>
      <c r="M163" s="125"/>
      <c r="N163" s="125"/>
      <c r="O163" s="111"/>
    </row>
    <row r="164" spans="1:28" hidden="1" x14ac:dyDescent="0.35">
      <c r="L164" s="104"/>
      <c r="M164" s="125"/>
      <c r="N164" s="125"/>
      <c r="O164" s="111"/>
    </row>
    <row r="165" spans="1:28" hidden="1" x14ac:dyDescent="0.35">
      <c r="L165" s="104"/>
      <c r="M165" s="125"/>
      <c r="N165" s="125"/>
      <c r="O165" s="111"/>
    </row>
    <row r="166" spans="1:28" hidden="1" x14ac:dyDescent="0.35">
      <c r="L166" s="104"/>
      <c r="M166" s="125"/>
      <c r="N166" s="125"/>
      <c r="O166" s="111"/>
    </row>
    <row r="167" spans="1:28" hidden="1" x14ac:dyDescent="0.35">
      <c r="L167" s="104"/>
      <c r="M167" s="125"/>
      <c r="N167" s="125"/>
      <c r="O167" s="111"/>
    </row>
    <row r="168" spans="1:28" hidden="1" x14ac:dyDescent="0.35">
      <c r="L168" s="104"/>
      <c r="M168" s="125"/>
      <c r="N168" s="125"/>
      <c r="O168" s="111"/>
    </row>
    <row r="169" spans="1:28" hidden="1" x14ac:dyDescent="0.35">
      <c r="L169" s="104"/>
      <c r="M169" s="125"/>
      <c r="N169" s="125"/>
      <c r="O169" s="111"/>
    </row>
    <row r="170" spans="1:28" hidden="1" x14ac:dyDescent="0.35">
      <c r="L170" s="104"/>
      <c r="M170" s="125"/>
      <c r="N170" s="125"/>
      <c r="O170" s="111"/>
    </row>
    <row r="171" spans="1:28" hidden="1" x14ac:dyDescent="0.35">
      <c r="A171" s="112" t="s">
        <v>124</v>
      </c>
      <c r="B171" s="114"/>
      <c r="C171" s="117"/>
      <c r="E171" s="117"/>
      <c r="F171" s="117"/>
      <c r="G171" s="117"/>
      <c r="H171" s="117"/>
      <c r="I171" s="117"/>
      <c r="J171" s="117"/>
      <c r="K171" s="117"/>
      <c r="L171" s="117"/>
      <c r="M171" s="125"/>
      <c r="N171" s="125"/>
      <c r="O171" s="111"/>
    </row>
    <row r="172" spans="1:28" hidden="1" x14ac:dyDescent="0.35">
      <c r="B172" s="118"/>
      <c r="C172" s="118"/>
      <c r="E172" s="118"/>
      <c r="F172" s="118"/>
      <c r="G172" s="118"/>
      <c r="H172" s="118"/>
      <c r="I172" s="118"/>
      <c r="J172" s="118"/>
      <c r="K172" s="118"/>
      <c r="L172" s="118"/>
      <c r="M172" s="125"/>
      <c r="N172" s="125"/>
      <c r="O172" s="111"/>
    </row>
    <row r="173" spans="1:28" hidden="1" x14ac:dyDescent="0.35">
      <c r="A173" s="328" t="s">
        <v>0</v>
      </c>
      <c r="B173" s="330" t="s">
        <v>1</v>
      </c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111"/>
    </row>
    <row r="174" spans="1:28" hidden="1" x14ac:dyDescent="0.35">
      <c r="A174" s="329"/>
      <c r="B174" s="192">
        <v>1</v>
      </c>
      <c r="C174" s="192">
        <v>2</v>
      </c>
      <c r="D174" s="192">
        <v>2.33</v>
      </c>
      <c r="E174" s="192">
        <v>5</v>
      </c>
      <c r="F174" s="192">
        <v>10</v>
      </c>
      <c r="G174" s="192">
        <v>20</v>
      </c>
      <c r="H174" s="192">
        <v>50</v>
      </c>
      <c r="I174" s="192">
        <v>100</v>
      </c>
      <c r="J174" s="192">
        <v>200</v>
      </c>
      <c r="K174" s="192">
        <v>500</v>
      </c>
      <c r="L174" s="192">
        <v>1000</v>
      </c>
      <c r="M174" s="192">
        <v>5000</v>
      </c>
      <c r="N174" s="192">
        <v>10000</v>
      </c>
      <c r="O174" s="111"/>
    </row>
    <row r="175" spans="1:28" hidden="1" x14ac:dyDescent="0.35">
      <c r="A175" s="115" t="s">
        <v>8</v>
      </c>
      <c r="B175" s="123" t="e">
        <f>+INDEX(#REF!,'Regional regression analysis'!B202,)</f>
        <v>#REF!</v>
      </c>
      <c r="C175" s="123" t="e">
        <f>+INDEX(#REF!,'Regional regression analysis'!C202,)</f>
        <v>#REF!</v>
      </c>
      <c r="D175" s="123" t="e">
        <f>+INDEX(#REF!,'Regional regression analysis'!D202,)</f>
        <v>#REF!</v>
      </c>
      <c r="E175" s="123" t="e">
        <f>+INDEX(#REF!,'Regional regression analysis'!E202,)</f>
        <v>#REF!</v>
      </c>
      <c r="F175" s="123" t="e">
        <f>+INDEX(#REF!,'Regional regression analysis'!F202,)</f>
        <v>#REF!</v>
      </c>
      <c r="G175" s="123" t="e">
        <f>+INDEX(#REF!,'Regional regression analysis'!G202,)</f>
        <v>#REF!</v>
      </c>
      <c r="H175" s="123" t="e">
        <f>+INDEX(#REF!,'Regional regression analysis'!H202,)</f>
        <v>#REF!</v>
      </c>
      <c r="I175" s="123" t="e">
        <f>+INDEX(#REF!,'Regional regression analysis'!I202,)</f>
        <v>#REF!</v>
      </c>
      <c r="J175" s="123" t="e">
        <f>+INDEX(#REF!,'Regional regression analysis'!J202,)</f>
        <v>#REF!</v>
      </c>
      <c r="K175" s="123" t="e">
        <f>+INDEX(#REF!,'Regional regression analysis'!K202,)</f>
        <v>#REF!</v>
      </c>
      <c r="L175" s="123" t="e">
        <f>+INDEX(#REF!,'Regional regression analysis'!L202,)</f>
        <v>#REF!</v>
      </c>
      <c r="M175" s="123" t="e">
        <f>+INDEX(#REF!,'Regional regression analysis'!M202,)</f>
        <v>#REF!</v>
      </c>
      <c r="N175" s="123" t="e">
        <f>+INDEX(#REF!,'Regional regression analysis'!N202,)</f>
        <v>#REF!</v>
      </c>
      <c r="O175" s="286"/>
      <c r="P175" s="286"/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</row>
    <row r="176" spans="1:28" hidden="1" x14ac:dyDescent="0.35">
      <c r="A176" s="115" t="s">
        <v>9</v>
      </c>
      <c r="B176" s="123" t="e">
        <f>+INDEX(#REF!,'Regional regression analysis'!B202,)</f>
        <v>#REF!</v>
      </c>
      <c r="C176" s="123" t="e">
        <f>+INDEX(#REF!,'Regional regression analysis'!C202,)</f>
        <v>#REF!</v>
      </c>
      <c r="D176" s="123" t="e">
        <f>+INDEX(#REF!,'Regional regression analysis'!D202,)</f>
        <v>#REF!</v>
      </c>
      <c r="E176" s="123" t="e">
        <f>+INDEX(#REF!,'Regional regression analysis'!E202,)</f>
        <v>#REF!</v>
      </c>
      <c r="F176" s="123" t="e">
        <f>+INDEX(#REF!,'Regional regression analysis'!F202,)</f>
        <v>#REF!</v>
      </c>
      <c r="G176" s="123" t="e">
        <f>+INDEX(#REF!,'Regional regression analysis'!G202,)</f>
        <v>#REF!</v>
      </c>
      <c r="H176" s="123" t="e">
        <f>+INDEX(#REF!,'Regional regression analysis'!H202,)</f>
        <v>#REF!</v>
      </c>
      <c r="I176" s="123" t="e">
        <f>+INDEX(#REF!,'Regional regression analysis'!I202,)</f>
        <v>#REF!</v>
      </c>
      <c r="J176" s="123" t="e">
        <f>+INDEX(#REF!,'Regional regression analysis'!J202,)</f>
        <v>#REF!</v>
      </c>
      <c r="K176" s="123" t="e">
        <f>+INDEX(#REF!,'Regional regression analysis'!K202,)</f>
        <v>#REF!</v>
      </c>
      <c r="L176" s="123" t="e">
        <f>+INDEX(#REF!,'Regional regression analysis'!L202,)</f>
        <v>#REF!</v>
      </c>
      <c r="M176" s="123" t="e">
        <f>+INDEX(#REF!,'Regional regression analysis'!M202,)</f>
        <v>#REF!</v>
      </c>
      <c r="N176" s="123" t="e">
        <f>+INDEX(#REF!,'Regional regression analysis'!N202,)</f>
        <v>#REF!</v>
      </c>
      <c r="O176" s="286"/>
      <c r="P176" s="286"/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</row>
    <row r="177" spans="1:28" hidden="1" x14ac:dyDescent="0.35">
      <c r="A177" s="120" t="s">
        <v>7</v>
      </c>
      <c r="B177" s="124" t="s">
        <v>73</v>
      </c>
      <c r="C177" s="124" t="e">
        <f>+INDEX(#REF!,'Regional regression analysis'!C202,)</f>
        <v>#REF!</v>
      </c>
      <c r="D177" s="124" t="e">
        <f>+INDEX(#REF!,'Regional regression analysis'!D202,)</f>
        <v>#REF!</v>
      </c>
      <c r="E177" s="124" t="e">
        <f>+INDEX(#REF!,'Regional regression analysis'!E202,)</f>
        <v>#REF!</v>
      </c>
      <c r="F177" s="124" t="e">
        <f>+INDEX(#REF!,'Regional regression analysis'!F202,)</f>
        <v>#REF!</v>
      </c>
      <c r="G177" s="124" t="e">
        <f>+INDEX(#REF!,'Regional regression analysis'!G202,)</f>
        <v>#REF!</v>
      </c>
      <c r="H177" s="124" t="e">
        <f>+INDEX(#REF!,'Regional regression analysis'!H202,)</f>
        <v>#REF!</v>
      </c>
      <c r="I177" s="124" t="e">
        <f>+INDEX(#REF!,'Regional regression analysis'!I202,)</f>
        <v>#REF!</v>
      </c>
      <c r="J177" s="124" t="e">
        <f>+INDEX(#REF!,'Regional regression analysis'!J202,)</f>
        <v>#REF!</v>
      </c>
      <c r="K177" s="124" t="e">
        <f>+INDEX(#REF!,'Regional regression analysis'!K202,)</f>
        <v>#REF!</v>
      </c>
      <c r="L177" s="124" t="e">
        <f>+INDEX(#REF!,'Regional regression analysis'!L202,)</f>
        <v>#REF!</v>
      </c>
      <c r="M177" s="124" t="e">
        <f>+INDEX(#REF!,'Regional regression analysis'!M202,)</f>
        <v>#REF!</v>
      </c>
      <c r="N177" s="124" t="e">
        <f>+INDEX(#REF!,'Regional regression analysis'!N202,)</f>
        <v>#REF!</v>
      </c>
      <c r="O177" s="286"/>
      <c r="P177" s="286"/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</row>
    <row r="178" spans="1:28" hidden="1" x14ac:dyDescent="0.35">
      <c r="L178" s="104"/>
      <c r="M178" s="125"/>
      <c r="N178" s="125"/>
      <c r="O178" s="111"/>
    </row>
    <row r="179" spans="1:28" hidden="1" x14ac:dyDescent="0.35">
      <c r="L179" s="104"/>
      <c r="M179" s="125"/>
      <c r="N179" s="125"/>
      <c r="O179" s="111"/>
    </row>
    <row r="180" spans="1:28" hidden="1" x14ac:dyDescent="0.35">
      <c r="L180" s="104"/>
      <c r="M180" s="125"/>
      <c r="N180" s="125"/>
      <c r="O180" s="111"/>
    </row>
    <row r="181" spans="1:28" hidden="1" x14ac:dyDescent="0.35">
      <c r="L181" s="104"/>
      <c r="M181" s="125"/>
      <c r="N181" s="125"/>
      <c r="O181" s="111"/>
    </row>
    <row r="182" spans="1:28" hidden="1" x14ac:dyDescent="0.35">
      <c r="L182" s="104"/>
      <c r="M182" s="125"/>
      <c r="N182" s="125"/>
      <c r="O182" s="111"/>
    </row>
    <row r="183" spans="1:28" hidden="1" x14ac:dyDescent="0.35">
      <c r="A183" s="127"/>
      <c r="L183" s="104"/>
      <c r="M183" s="125"/>
      <c r="N183" s="125"/>
      <c r="O183" s="111"/>
    </row>
    <row r="184" spans="1:28" hidden="1" x14ac:dyDescent="0.35">
      <c r="A184" s="127"/>
      <c r="B184" s="118"/>
      <c r="C184" s="117"/>
      <c r="E184" s="117"/>
      <c r="F184" s="117"/>
      <c r="G184" s="117"/>
      <c r="H184" s="117"/>
      <c r="I184" s="117"/>
      <c r="J184" s="117"/>
      <c r="K184" s="117"/>
      <c r="L184" s="117"/>
      <c r="M184" s="125"/>
      <c r="N184" s="125"/>
      <c r="O184" s="111"/>
    </row>
    <row r="185" spans="1:28" hidden="1" x14ac:dyDescent="0.35">
      <c r="L185" s="104"/>
      <c r="M185" s="125"/>
      <c r="N185" s="125"/>
      <c r="O185" s="111"/>
    </row>
    <row r="186" spans="1:28" hidden="1" x14ac:dyDescent="0.35">
      <c r="L186" s="104"/>
      <c r="M186" s="125"/>
      <c r="N186" s="125"/>
      <c r="O186" s="111"/>
    </row>
    <row r="187" spans="1:28" hidden="1" x14ac:dyDescent="0.35">
      <c r="L187" s="104"/>
      <c r="M187" s="125"/>
      <c r="N187" s="125"/>
      <c r="O187" s="111"/>
    </row>
    <row r="188" spans="1:28" hidden="1" x14ac:dyDescent="0.35">
      <c r="L188" s="104"/>
      <c r="M188" s="125"/>
      <c r="N188" s="125"/>
      <c r="O188" s="111"/>
    </row>
    <row r="189" spans="1:28" hidden="1" x14ac:dyDescent="0.35">
      <c r="L189" s="104"/>
      <c r="M189" s="125"/>
      <c r="N189" s="125"/>
      <c r="O189" s="111"/>
    </row>
    <row r="190" spans="1:28" hidden="1" x14ac:dyDescent="0.35"/>
    <row r="191" spans="1:28" hidden="1" x14ac:dyDescent="0.35"/>
    <row r="192" spans="1:28" hidden="1" x14ac:dyDescent="0.35"/>
    <row r="193" spans="1:28" hidden="1" x14ac:dyDescent="0.35"/>
    <row r="194" spans="1:28" hidden="1" x14ac:dyDescent="0.35">
      <c r="A194" s="112" t="s">
        <v>123</v>
      </c>
    </row>
    <row r="195" spans="1:28" hidden="1" x14ac:dyDescent="0.35"/>
    <row r="196" spans="1:28" hidden="1" x14ac:dyDescent="0.35">
      <c r="A196" s="328" t="s">
        <v>0</v>
      </c>
      <c r="B196" s="330" t="s">
        <v>1</v>
      </c>
      <c r="C196" s="331"/>
      <c r="D196" s="331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</row>
    <row r="197" spans="1:28" hidden="1" x14ac:dyDescent="0.35">
      <c r="A197" s="329"/>
      <c r="B197" s="192">
        <v>1</v>
      </c>
      <c r="C197" s="192">
        <v>2</v>
      </c>
      <c r="D197" s="192">
        <v>2.33</v>
      </c>
      <c r="E197" s="192">
        <v>5</v>
      </c>
      <c r="F197" s="192">
        <v>10</v>
      </c>
      <c r="G197" s="192">
        <v>20</v>
      </c>
      <c r="H197" s="192">
        <v>50</v>
      </c>
      <c r="I197" s="192">
        <v>100</v>
      </c>
      <c r="J197" s="192">
        <v>200</v>
      </c>
      <c r="K197" s="192">
        <v>500</v>
      </c>
      <c r="L197" s="192">
        <v>1000</v>
      </c>
      <c r="M197" s="192">
        <v>5000</v>
      </c>
      <c r="N197" s="192">
        <v>10000</v>
      </c>
    </row>
    <row r="198" spans="1:28" hidden="1" x14ac:dyDescent="0.35">
      <c r="A198" s="115" t="s">
        <v>8</v>
      </c>
      <c r="B198" s="123" t="e">
        <f>+INDEX(#REF!,'Regional regression analysis'!B202,)</f>
        <v>#REF!</v>
      </c>
      <c r="C198" s="123" t="e">
        <f>+INDEX(#REF!,'Regional regression analysis'!C202,)</f>
        <v>#REF!</v>
      </c>
      <c r="D198" s="123" t="e">
        <f>+INDEX(#REF!,'Regional regression analysis'!D202,)</f>
        <v>#REF!</v>
      </c>
      <c r="E198" s="123" t="e">
        <f>+INDEX(#REF!,'Regional regression analysis'!E202,)</f>
        <v>#REF!</v>
      </c>
      <c r="F198" s="123" t="e">
        <f>+INDEX(#REF!,'Regional regression analysis'!F202,)</f>
        <v>#REF!</v>
      </c>
      <c r="G198" s="123" t="e">
        <f>+INDEX(#REF!,'Regional regression analysis'!G202,)</f>
        <v>#REF!</v>
      </c>
      <c r="H198" s="123" t="e">
        <f>+INDEX(#REF!,'Regional regression analysis'!H202,)</f>
        <v>#REF!</v>
      </c>
      <c r="I198" s="123" t="e">
        <f>+INDEX(#REF!,'Regional regression analysis'!I202,)</f>
        <v>#REF!</v>
      </c>
      <c r="J198" s="123" t="e">
        <f>+INDEX(#REF!,'Regional regression analysis'!J202,)</f>
        <v>#REF!</v>
      </c>
      <c r="K198" s="123" t="e">
        <f>+INDEX(#REF!,'Regional regression analysis'!K202,)</f>
        <v>#REF!</v>
      </c>
      <c r="L198" s="123" t="e">
        <f>+INDEX(#REF!,'Regional regression analysis'!L202,)</f>
        <v>#REF!</v>
      </c>
      <c r="M198" s="123" t="e">
        <f>+INDEX(#REF!,'Regional regression analysis'!M202,)</f>
        <v>#REF!</v>
      </c>
      <c r="N198" s="123" t="e">
        <f>+INDEX(#REF!,'Regional regression analysis'!N202,)</f>
        <v>#REF!</v>
      </c>
      <c r="O198" s="286"/>
      <c r="P198" s="286"/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</row>
    <row r="199" spans="1:28" hidden="1" x14ac:dyDescent="0.35">
      <c r="A199" s="115" t="s">
        <v>9</v>
      </c>
      <c r="B199" s="123" t="e">
        <f>+INDEX(#REF!,'Regional regression analysis'!B202,)</f>
        <v>#REF!</v>
      </c>
      <c r="C199" s="123" t="e">
        <f>+INDEX(#REF!,'Regional regression analysis'!C202,)</f>
        <v>#REF!</v>
      </c>
      <c r="D199" s="123" t="e">
        <f>+INDEX(#REF!,'Regional regression analysis'!D202,)</f>
        <v>#REF!</v>
      </c>
      <c r="E199" s="123" t="e">
        <f>+INDEX(#REF!,'Regional regression analysis'!E202,)</f>
        <v>#REF!</v>
      </c>
      <c r="F199" s="123" t="e">
        <f>+INDEX(#REF!,'Regional regression analysis'!F202,)</f>
        <v>#REF!</v>
      </c>
      <c r="G199" s="123" t="e">
        <f>+INDEX(#REF!,'Regional regression analysis'!G202,)</f>
        <v>#REF!</v>
      </c>
      <c r="H199" s="123" t="e">
        <f>+INDEX(#REF!,'Regional regression analysis'!H202,)</f>
        <v>#REF!</v>
      </c>
      <c r="I199" s="123" t="e">
        <f>+INDEX(#REF!,'Regional regression analysis'!I202,)</f>
        <v>#REF!</v>
      </c>
      <c r="J199" s="123" t="e">
        <f>+INDEX(#REF!,'Regional regression analysis'!J202,)</f>
        <v>#REF!</v>
      </c>
      <c r="K199" s="123" t="e">
        <f>+INDEX(#REF!,'Regional regression analysis'!K202,)</f>
        <v>#REF!</v>
      </c>
      <c r="L199" s="123" t="e">
        <f>+INDEX(#REF!,'Regional regression analysis'!L202,)</f>
        <v>#REF!</v>
      </c>
      <c r="M199" s="123" t="e">
        <f>+INDEX(#REF!,'Regional regression analysis'!M202,)</f>
        <v>#REF!</v>
      </c>
      <c r="N199" s="123" t="e">
        <f>+INDEX(#REF!,'Regional regression analysis'!N202,)</f>
        <v>#REF!</v>
      </c>
      <c r="O199" s="286"/>
      <c r="P199" s="286"/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</row>
    <row r="200" spans="1:28" hidden="1" x14ac:dyDescent="0.35">
      <c r="A200" s="120" t="s">
        <v>7</v>
      </c>
      <c r="B200" s="124" t="s">
        <v>73</v>
      </c>
      <c r="C200" s="124" t="e">
        <f>+INDEX(#REF!,'Regional regression analysis'!C202,)</f>
        <v>#REF!</v>
      </c>
      <c r="D200" s="124" t="e">
        <f>+INDEX(#REF!,'Regional regression analysis'!D202,)</f>
        <v>#REF!</v>
      </c>
      <c r="E200" s="124" t="e">
        <f>+INDEX(#REF!,'Regional regression analysis'!E202,)</f>
        <v>#REF!</v>
      </c>
      <c r="F200" s="124" t="e">
        <f>+INDEX(#REF!,'Regional regression analysis'!F202,)</f>
        <v>#REF!</v>
      </c>
      <c r="G200" s="124" t="e">
        <f>+INDEX(#REF!,'Regional regression analysis'!G202,)</f>
        <v>#REF!</v>
      </c>
      <c r="H200" s="124" t="e">
        <f>+INDEX(#REF!,'Regional regression analysis'!H202,)</f>
        <v>#REF!</v>
      </c>
      <c r="I200" s="124" t="e">
        <f>+INDEX(#REF!,'Regional regression analysis'!I202,)</f>
        <v>#REF!</v>
      </c>
      <c r="J200" s="124" t="e">
        <f>+INDEX(#REF!,'Regional regression analysis'!J202,)</f>
        <v>#REF!</v>
      </c>
      <c r="K200" s="124" t="e">
        <f>+INDEX(#REF!,'Regional regression analysis'!K202,)</f>
        <v>#REF!</v>
      </c>
      <c r="L200" s="124" t="e">
        <f>+INDEX(#REF!,'Regional regression analysis'!L202,)</f>
        <v>#REF!</v>
      </c>
      <c r="M200" s="124" t="e">
        <f>+INDEX(#REF!,'Regional regression analysis'!M202,)</f>
        <v>#REF!</v>
      </c>
      <c r="N200" s="124" t="e">
        <f>+INDEX(#REF!,'Regional regression analysis'!N202,)</f>
        <v>#REF!</v>
      </c>
      <c r="O200" s="286"/>
      <c r="P200" s="286"/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</row>
    <row r="201" spans="1:28" hidden="1" x14ac:dyDescent="0.35"/>
    <row r="202" spans="1:28" hidden="1" x14ac:dyDescent="0.35">
      <c r="B202" s="118">
        <v>1</v>
      </c>
      <c r="C202" s="117">
        <v>2</v>
      </c>
      <c r="D202" s="117">
        <v>3</v>
      </c>
      <c r="E202" s="117">
        <v>4</v>
      </c>
      <c r="F202" s="117">
        <v>5</v>
      </c>
      <c r="G202" s="117">
        <v>6</v>
      </c>
      <c r="H202" s="117">
        <v>7</v>
      </c>
      <c r="I202" s="117">
        <v>8</v>
      </c>
      <c r="J202" s="117">
        <v>9</v>
      </c>
      <c r="K202" s="117">
        <v>10</v>
      </c>
      <c r="L202" s="117">
        <v>11</v>
      </c>
      <c r="M202" s="117">
        <v>12</v>
      </c>
      <c r="N202" s="117">
        <v>13</v>
      </c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</row>
    <row r="203" spans="1:28" hidden="1" x14ac:dyDescent="0.35"/>
    <row r="204" spans="1:28" hidden="1" x14ac:dyDescent="0.35"/>
    <row r="205" spans="1:28" hidden="1" x14ac:dyDescent="0.35"/>
    <row r="206" spans="1:28" hidden="1" x14ac:dyDescent="0.35"/>
    <row r="207" spans="1:28" hidden="1" x14ac:dyDescent="0.35"/>
    <row r="208" spans="1:28" hidden="1" x14ac:dyDescent="0.35"/>
    <row r="209" spans="1:27" hidden="1" x14ac:dyDescent="0.35"/>
    <row r="210" spans="1:27" hidden="1" x14ac:dyDescent="0.35"/>
    <row r="211" spans="1:27" hidden="1" x14ac:dyDescent="0.35">
      <c r="L211" s="104"/>
    </row>
    <row r="212" spans="1:27" hidden="1" x14ac:dyDescent="0.35">
      <c r="Z212" s="286"/>
      <c r="AA212" s="286"/>
    </row>
    <row r="213" spans="1:27" hidden="1" x14ac:dyDescent="0.35">
      <c r="Z213" s="286"/>
      <c r="AA213" s="286"/>
    </row>
    <row r="214" spans="1:27" hidden="1" x14ac:dyDescent="0.35">
      <c r="L214" s="104"/>
      <c r="Z214" s="286"/>
      <c r="AA214" s="286"/>
    </row>
    <row r="215" spans="1:27" hidden="1" x14ac:dyDescent="0.35">
      <c r="L215" s="104"/>
      <c r="Z215" s="286"/>
      <c r="AA215" s="286"/>
    </row>
    <row r="216" spans="1:27" hidden="1" x14ac:dyDescent="0.35">
      <c r="L216" s="104"/>
      <c r="Z216" s="286"/>
      <c r="AA216" s="286"/>
    </row>
    <row r="217" spans="1:27" hidden="1" x14ac:dyDescent="0.35">
      <c r="L217" s="104"/>
      <c r="Z217" s="286"/>
      <c r="AA217" s="286"/>
    </row>
    <row r="218" spans="1:27" hidden="1" x14ac:dyDescent="0.35">
      <c r="L218" s="104"/>
      <c r="Z218" s="286"/>
      <c r="AA218" s="286"/>
    </row>
    <row r="219" spans="1:27" hidden="1" x14ac:dyDescent="0.35">
      <c r="L219" s="104"/>
      <c r="Z219" s="286"/>
      <c r="AA219" s="286"/>
    </row>
    <row r="220" spans="1:27" hidden="1" x14ac:dyDescent="0.35">
      <c r="L220" s="104"/>
      <c r="Z220" s="286"/>
      <c r="AA220" s="286"/>
    </row>
    <row r="221" spans="1:27" hidden="1" x14ac:dyDescent="0.35">
      <c r="A221" s="112" t="s">
        <v>233</v>
      </c>
      <c r="Z221" s="286"/>
      <c r="AA221" s="286"/>
    </row>
    <row r="222" spans="1:27" hidden="1" x14ac:dyDescent="0.35">
      <c r="Z222" s="286"/>
      <c r="AA222" s="286"/>
    </row>
    <row r="223" spans="1:27" hidden="1" x14ac:dyDescent="0.35">
      <c r="A223" s="328" t="s">
        <v>0</v>
      </c>
      <c r="B223" s="330" t="s">
        <v>1</v>
      </c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Z223" s="286"/>
      <c r="AA223" s="286"/>
    </row>
    <row r="224" spans="1:27" hidden="1" x14ac:dyDescent="0.35">
      <c r="A224" s="329"/>
      <c r="B224" s="287">
        <v>1</v>
      </c>
      <c r="C224" s="287">
        <v>2</v>
      </c>
      <c r="D224" s="287">
        <v>2.33</v>
      </c>
      <c r="E224" s="287">
        <v>5</v>
      </c>
      <c r="F224" s="287">
        <v>10</v>
      </c>
      <c r="G224" s="287">
        <v>20</v>
      </c>
      <c r="H224" s="287">
        <v>50</v>
      </c>
      <c r="I224" s="287">
        <v>100</v>
      </c>
      <c r="J224" s="287">
        <v>200</v>
      </c>
      <c r="K224" s="287">
        <v>500</v>
      </c>
      <c r="L224" s="287">
        <v>1000</v>
      </c>
      <c r="M224" s="287">
        <v>5000</v>
      </c>
      <c r="N224" s="287">
        <v>10000</v>
      </c>
      <c r="Z224" s="286"/>
      <c r="AA224" s="286"/>
    </row>
    <row r="225" spans="1:27" hidden="1" x14ac:dyDescent="0.35">
      <c r="A225" s="115" t="s">
        <v>8</v>
      </c>
      <c r="B225" s="123" t="e">
        <f>+INDEX(#REF!,'Regional regression analysis'!B$229,)</f>
        <v>#REF!</v>
      </c>
      <c r="C225" s="123" t="e">
        <f>+INDEX(#REF!,'Regional regression analysis'!C$229,)</f>
        <v>#REF!</v>
      </c>
      <c r="D225" s="123" t="e">
        <f>+INDEX(#REF!,'Regional regression analysis'!D$229,)</f>
        <v>#REF!</v>
      </c>
      <c r="E225" s="123" t="e">
        <f>+INDEX(#REF!,'Regional regression analysis'!E$229,)</f>
        <v>#REF!</v>
      </c>
      <c r="F225" s="123" t="e">
        <f>+INDEX(#REF!,'Regional regression analysis'!F$229,)</f>
        <v>#REF!</v>
      </c>
      <c r="G225" s="123" t="e">
        <f>+INDEX(#REF!,'Regional regression analysis'!G$229,)</f>
        <v>#REF!</v>
      </c>
      <c r="H225" s="123" t="e">
        <f>+INDEX(#REF!,'Regional regression analysis'!H$229,)</f>
        <v>#REF!</v>
      </c>
      <c r="I225" s="123" t="e">
        <f>+INDEX(#REF!,'Regional regression analysis'!I$229,)</f>
        <v>#REF!</v>
      </c>
      <c r="J225" s="123" t="e">
        <f>+INDEX(#REF!,'Regional regression analysis'!J$229,)</f>
        <v>#REF!</v>
      </c>
      <c r="K225" s="123" t="e">
        <f>+INDEX(#REF!,'Regional regression analysis'!K$229,)</f>
        <v>#REF!</v>
      </c>
      <c r="L225" s="123" t="e">
        <f>+INDEX(#REF!,'Regional regression analysis'!L$229,)</f>
        <v>#REF!</v>
      </c>
      <c r="M225" s="123" t="e">
        <f>+INDEX(#REF!,'Regional regression analysis'!M$229,)</f>
        <v>#REF!</v>
      </c>
      <c r="N225" s="123" t="e">
        <f>+INDEX(#REF!,'Regional regression analysis'!N$229,)</f>
        <v>#REF!</v>
      </c>
      <c r="Z225" s="286"/>
      <c r="AA225" s="286"/>
    </row>
    <row r="226" spans="1:27" hidden="1" x14ac:dyDescent="0.35">
      <c r="A226" s="115" t="s">
        <v>9</v>
      </c>
      <c r="B226" s="123" t="e">
        <f>+INDEX(#REF!,'Regional regression analysis'!B$229,)</f>
        <v>#REF!</v>
      </c>
      <c r="C226" s="123" t="e">
        <f>+INDEX(#REF!,'Regional regression analysis'!C$229,)</f>
        <v>#REF!</v>
      </c>
      <c r="D226" s="123" t="e">
        <f>+INDEX(#REF!,'Regional regression analysis'!D$229,)</f>
        <v>#REF!</v>
      </c>
      <c r="E226" s="123" t="e">
        <f>+INDEX(#REF!,'Regional regression analysis'!E$229,)</f>
        <v>#REF!</v>
      </c>
      <c r="F226" s="123" t="e">
        <f>+INDEX(#REF!,'Regional regression analysis'!F$229,)</f>
        <v>#REF!</v>
      </c>
      <c r="G226" s="123" t="e">
        <f>+INDEX(#REF!,'Regional regression analysis'!G$229,)</f>
        <v>#REF!</v>
      </c>
      <c r="H226" s="123" t="e">
        <f>+INDEX(#REF!,'Regional regression analysis'!H$229,)</f>
        <v>#REF!</v>
      </c>
      <c r="I226" s="123" t="e">
        <f>+INDEX(#REF!,'Regional regression analysis'!I$229,)</f>
        <v>#REF!</v>
      </c>
      <c r="J226" s="123" t="e">
        <f>+INDEX(#REF!,'Regional regression analysis'!J$229,)</f>
        <v>#REF!</v>
      </c>
      <c r="K226" s="123" t="e">
        <f>+INDEX(#REF!,'Regional regression analysis'!K$229,)</f>
        <v>#REF!</v>
      </c>
      <c r="L226" s="123" t="e">
        <f>+INDEX(#REF!,'Regional regression analysis'!L$229,)</f>
        <v>#REF!</v>
      </c>
      <c r="M226" s="123" t="e">
        <f>+INDEX(#REF!,'Regional regression analysis'!M$229,)</f>
        <v>#REF!</v>
      </c>
      <c r="N226" s="123" t="e">
        <f>+INDEX(#REF!,'Regional regression analysis'!N$229,)</f>
        <v>#REF!</v>
      </c>
      <c r="Z226" s="286"/>
      <c r="AA226" s="286"/>
    </row>
    <row r="227" spans="1:27" hidden="1" x14ac:dyDescent="0.35">
      <c r="A227" s="120" t="s">
        <v>7</v>
      </c>
      <c r="B227" s="124" t="s">
        <v>73</v>
      </c>
      <c r="C227" s="124" t="e">
        <f>+INDEX(#REF!,'Regional regression analysis'!C$229,)</f>
        <v>#REF!</v>
      </c>
      <c r="D227" s="124" t="e">
        <f>+INDEX(#REF!,'Regional regression analysis'!D$229,)</f>
        <v>#REF!</v>
      </c>
      <c r="E227" s="124" t="e">
        <f>+INDEX(#REF!,'Regional regression analysis'!E$229,)</f>
        <v>#REF!</v>
      </c>
      <c r="F227" s="124" t="e">
        <f>+INDEX(#REF!,'Regional regression analysis'!F$229,)</f>
        <v>#REF!</v>
      </c>
      <c r="G227" s="124" t="e">
        <f>+INDEX(#REF!,'Regional regression analysis'!G$229,)</f>
        <v>#REF!</v>
      </c>
      <c r="H227" s="124" t="e">
        <f>+INDEX(#REF!,'Regional regression analysis'!H$229,)</f>
        <v>#REF!</v>
      </c>
      <c r="I227" s="124" t="e">
        <f>+INDEX(#REF!,'Regional regression analysis'!I$229,)</f>
        <v>#REF!</v>
      </c>
      <c r="J227" s="124" t="e">
        <f>+INDEX(#REF!,'Regional regression analysis'!J$229,)</f>
        <v>#REF!</v>
      </c>
      <c r="K227" s="124" t="e">
        <f>+INDEX(#REF!,'Regional regression analysis'!K$229,)</f>
        <v>#REF!</v>
      </c>
      <c r="L227" s="124" t="e">
        <f>+INDEX(#REF!,'Regional regression analysis'!L$229,)</f>
        <v>#REF!</v>
      </c>
      <c r="M227" s="124" t="e">
        <f>+INDEX(#REF!,'Regional regression analysis'!M$229,)</f>
        <v>#REF!</v>
      </c>
      <c r="N227" s="124" t="e">
        <f>+INDEX(#REF!,'Regional regression analysis'!N$229,)</f>
        <v>#REF!</v>
      </c>
      <c r="Z227" s="286"/>
      <c r="AA227" s="286"/>
    </row>
    <row r="228" spans="1:27" hidden="1" x14ac:dyDescent="0.35">
      <c r="Z228" s="286"/>
      <c r="AA228" s="286"/>
    </row>
    <row r="229" spans="1:27" hidden="1" x14ac:dyDescent="0.35">
      <c r="B229" s="118">
        <v>1</v>
      </c>
      <c r="C229" s="117">
        <v>2</v>
      </c>
      <c r="D229" s="117">
        <v>3</v>
      </c>
      <c r="E229" s="117">
        <v>4</v>
      </c>
      <c r="F229" s="117">
        <v>5</v>
      </c>
      <c r="G229" s="117">
        <v>6</v>
      </c>
      <c r="H229" s="117">
        <v>7</v>
      </c>
      <c r="I229" s="117">
        <v>8</v>
      </c>
      <c r="J229" s="117">
        <v>9</v>
      </c>
      <c r="K229" s="117">
        <v>10</v>
      </c>
      <c r="L229" s="117">
        <v>11</v>
      </c>
      <c r="M229" s="117">
        <v>12</v>
      </c>
      <c r="N229" s="117">
        <v>13</v>
      </c>
      <c r="Z229" s="286"/>
      <c r="AA229" s="286"/>
    </row>
    <row r="230" spans="1:27" hidden="1" x14ac:dyDescent="0.35">
      <c r="Z230" s="286"/>
      <c r="AA230" s="286"/>
    </row>
    <row r="231" spans="1:27" hidden="1" x14ac:dyDescent="0.35">
      <c r="Z231" s="286"/>
      <c r="AA231" s="286"/>
    </row>
    <row r="232" spans="1:27" hidden="1" x14ac:dyDescent="0.35">
      <c r="Z232" s="286"/>
      <c r="AA232" s="286"/>
    </row>
    <row r="233" spans="1:27" hidden="1" x14ac:dyDescent="0.35">
      <c r="Z233" s="286"/>
      <c r="AA233" s="286"/>
    </row>
    <row r="234" spans="1:27" hidden="1" x14ac:dyDescent="0.35">
      <c r="Z234" s="286"/>
      <c r="AA234" s="286"/>
    </row>
    <row r="235" spans="1:27" hidden="1" x14ac:dyDescent="0.35">
      <c r="Z235" s="286"/>
      <c r="AA235" s="286"/>
    </row>
    <row r="236" spans="1:27" hidden="1" x14ac:dyDescent="0.35">
      <c r="Z236" s="286"/>
      <c r="AA236" s="286"/>
    </row>
    <row r="237" spans="1:27" hidden="1" x14ac:dyDescent="0.35">
      <c r="Z237" s="286"/>
      <c r="AA237" s="286"/>
    </row>
    <row r="238" spans="1:27" hidden="1" x14ac:dyDescent="0.35">
      <c r="L238" s="104"/>
      <c r="Z238" s="286"/>
      <c r="AA238" s="286"/>
    </row>
    <row r="239" spans="1:27" hidden="1" x14ac:dyDescent="0.35">
      <c r="Z239" s="286"/>
      <c r="AA239" s="286"/>
    </row>
    <row r="240" spans="1:27" hidden="1" x14ac:dyDescent="0.35">
      <c r="Z240" s="286"/>
      <c r="AA240" s="286"/>
    </row>
    <row r="241" spans="1:27" hidden="1" x14ac:dyDescent="0.35">
      <c r="L241" s="104"/>
      <c r="Z241" s="286"/>
      <c r="AA241" s="286"/>
    </row>
    <row r="242" spans="1:27" hidden="1" x14ac:dyDescent="0.35">
      <c r="L242" s="104"/>
      <c r="Z242" s="286"/>
      <c r="AA242" s="286"/>
    </row>
    <row r="243" spans="1:27" hidden="1" x14ac:dyDescent="0.35">
      <c r="L243" s="104"/>
      <c r="Z243" s="286"/>
      <c r="AA243" s="286"/>
    </row>
    <row r="244" spans="1:27" hidden="1" x14ac:dyDescent="0.35">
      <c r="L244" s="104"/>
      <c r="Z244" s="286"/>
      <c r="AA244" s="286"/>
    </row>
    <row r="245" spans="1:27" hidden="1" x14ac:dyDescent="0.35">
      <c r="L245" s="104"/>
      <c r="Z245" s="286"/>
      <c r="AA245" s="286"/>
    </row>
    <row r="246" spans="1:27" hidden="1" x14ac:dyDescent="0.35">
      <c r="L246" s="104"/>
      <c r="Z246" s="286"/>
      <c r="AA246" s="286"/>
    </row>
    <row r="247" spans="1:27" hidden="1" x14ac:dyDescent="0.35">
      <c r="L247" s="104"/>
      <c r="Z247" s="286"/>
      <c r="AA247" s="286"/>
    </row>
    <row r="248" spans="1:27" x14ac:dyDescent="0.35">
      <c r="L248" s="104"/>
      <c r="Z248" s="286"/>
      <c r="AA248" s="286"/>
    </row>
    <row r="249" spans="1:27" x14ac:dyDescent="0.35">
      <c r="L249" s="104"/>
    </row>
    <row r="250" spans="1:27" x14ac:dyDescent="0.35">
      <c r="A250" s="87" t="s">
        <v>264</v>
      </c>
      <c r="B250" s="126"/>
      <c r="C250" s="168"/>
      <c r="D250" s="168"/>
      <c r="E250" s="117"/>
      <c r="F250" s="117"/>
      <c r="G250" s="117"/>
      <c r="H250" s="117"/>
      <c r="I250" s="117"/>
      <c r="J250" s="117"/>
      <c r="K250" s="117"/>
      <c r="L250" s="117"/>
    </row>
    <row r="251" spans="1:27" ht="51.75" x14ac:dyDescent="0.35">
      <c r="A251" s="128" t="s">
        <v>91</v>
      </c>
      <c r="B251" s="129" t="s">
        <v>219</v>
      </c>
      <c r="C251" s="130" t="s">
        <v>92</v>
      </c>
      <c r="D251" s="130" t="s">
        <v>94</v>
      </c>
      <c r="E251" s="130" t="s">
        <v>95</v>
      </c>
      <c r="F251" s="130" t="s">
        <v>96</v>
      </c>
      <c r="G251" s="130" t="s">
        <v>93</v>
      </c>
      <c r="H251" s="130" t="s">
        <v>97</v>
      </c>
      <c r="I251" s="117"/>
      <c r="J251" s="117"/>
      <c r="K251" s="117"/>
      <c r="L251" s="117"/>
    </row>
    <row r="252" spans="1:27" x14ac:dyDescent="0.35">
      <c r="A252" s="131">
        <v>1</v>
      </c>
      <c r="B252" s="132" t="str">
        <f>'Station Details'!B2</f>
        <v>Isuwa at Intake</v>
      </c>
      <c r="C252" s="133" t="str">
        <f>'Station Details'!C2</f>
        <v>-</v>
      </c>
      <c r="D252" s="133">
        <f>'Station Details'!D2</f>
        <v>160.79</v>
      </c>
      <c r="E252" s="319">
        <f>'Station Details'!E2</f>
        <v>0.10019279805958081</v>
      </c>
      <c r="F252" s="319">
        <f>'Station Details'!F2</f>
        <v>0.6167672118912868</v>
      </c>
      <c r="G252" s="319">
        <f>'Station Details'!G2</f>
        <v>0.28303999004913238</v>
      </c>
      <c r="H252" s="133">
        <f>'Station Details'!H2</f>
        <v>115.28</v>
      </c>
      <c r="I252" s="117"/>
      <c r="L252" s="104"/>
    </row>
    <row r="253" spans="1:27" x14ac:dyDescent="0.35">
      <c r="A253" s="131">
        <v>2</v>
      </c>
      <c r="B253" s="132" t="str">
        <f>'Station Details'!B3</f>
        <v>Powerhouse river-1</v>
      </c>
      <c r="C253" s="133" t="str">
        <f>'Station Details'!C3</f>
        <v>-</v>
      </c>
      <c r="D253" s="320">
        <f>'Station Details'!D3</f>
        <v>27542.558891000001</v>
      </c>
      <c r="E253" s="319">
        <f>'Station Details'!E3</f>
        <v>2.5452972716673638E-2</v>
      </c>
      <c r="F253" s="319">
        <f>'Station Details'!F3</f>
        <v>0.58452339391241936</v>
      </c>
      <c r="G253" s="319">
        <f>'Station Details'!G3</f>
        <v>0.39003093512528636</v>
      </c>
      <c r="H253" s="133">
        <f>'Station Details'!H3</f>
        <v>16800.310000000001</v>
      </c>
      <c r="I253" s="117"/>
      <c r="J253" s="105"/>
      <c r="L253" s="105"/>
    </row>
    <row r="254" spans="1:27" x14ac:dyDescent="0.35">
      <c r="A254" s="131">
        <v>3</v>
      </c>
      <c r="B254" s="132" t="str">
        <f>'Station Details'!B4</f>
        <v>Powerhouse river-2</v>
      </c>
      <c r="C254" s="132" t="str">
        <f>'Station Details'!C4</f>
        <v>-</v>
      </c>
      <c r="D254" s="320">
        <f>'Station Details'!D4</f>
        <v>217.89184</v>
      </c>
      <c r="E254" s="319">
        <f>'Station Details'!E4</f>
        <v>0.3226830339309632</v>
      </c>
      <c r="F254" s="319">
        <f>'Station Details'!F4</f>
        <v>0.63981285393707266</v>
      </c>
      <c r="G254" s="319">
        <f>'Station Details'!G4</f>
        <v>3.7495667575252016E-2</v>
      </c>
      <c r="H254" s="133">
        <f>'Station Details'!H4</f>
        <v>209.73</v>
      </c>
      <c r="I254" s="117"/>
      <c r="J254" s="105"/>
      <c r="L254" s="105"/>
    </row>
    <row r="255" spans="1:27" x14ac:dyDescent="0.35">
      <c r="A255" s="131">
        <v>4</v>
      </c>
      <c r="B255" s="132" t="str">
        <f>'Station Details'!B5</f>
        <v>Uwa Gaon</v>
      </c>
      <c r="C255" s="133">
        <f>'Station Details'!C5</f>
        <v>600.1</v>
      </c>
      <c r="D255" s="320">
        <f>'Station Details'!D5</f>
        <v>27090.762891999999</v>
      </c>
      <c r="E255" s="319">
        <f>'Station Details'!E5</f>
        <v>1.6184483314402191E-2</v>
      </c>
      <c r="F255" s="319">
        <f>'Station Details'!F5</f>
        <v>0.58904764194412484</v>
      </c>
      <c r="G255" s="319">
        <f>'Station Details'!G5</f>
        <v>0.39476776798921903</v>
      </c>
      <c r="H255" s="133">
        <f>'Station Details'!H5</f>
        <v>16396.2</v>
      </c>
      <c r="J255" s="146"/>
      <c r="L255" s="105"/>
    </row>
    <row r="256" spans="1:27" x14ac:dyDescent="0.35">
      <c r="A256" s="131">
        <v>5</v>
      </c>
      <c r="B256" s="132" t="str">
        <f>'Station Details'!B6</f>
        <v>Sabhaya</v>
      </c>
      <c r="C256" s="133">
        <f>'Station Details'!C6</f>
        <v>602</v>
      </c>
      <c r="D256" s="320">
        <f>'Station Details'!D6</f>
        <v>391.36</v>
      </c>
      <c r="E256" s="319">
        <f>'Station Details'!E6</f>
        <v>0.92280764513491409</v>
      </c>
      <c r="F256" s="319">
        <f>'Station Details'!F6</f>
        <v>7.7166802943581358E-2</v>
      </c>
      <c r="G256" s="319">
        <f>'Station Details'!G6</f>
        <v>0</v>
      </c>
      <c r="H256" s="133">
        <f>'Station Details'!H6</f>
        <v>391.36</v>
      </c>
      <c r="J256" s="105"/>
      <c r="L256" s="105"/>
    </row>
    <row r="257" spans="1:27" x14ac:dyDescent="0.35">
      <c r="A257" s="131">
        <v>6</v>
      </c>
      <c r="B257" s="132" t="str">
        <f>'Station Details'!B7</f>
        <v>Hinwa</v>
      </c>
      <c r="C257" s="133">
        <f>'Station Details'!C7</f>
        <v>602.5</v>
      </c>
      <c r="D257" s="133">
        <f>'Station Details'!D7</f>
        <v>148.13999999999999</v>
      </c>
      <c r="E257" s="319">
        <f>'Station Details'!E7</f>
        <v>0.96030781692993117</v>
      </c>
      <c r="F257" s="319">
        <f>'Station Details'!F7</f>
        <v>3.9692183070068859E-2</v>
      </c>
      <c r="G257" s="319">
        <f>'Station Details'!G7</f>
        <v>0</v>
      </c>
      <c r="H257" s="133">
        <f>'Station Details'!H7</f>
        <v>148.13999999999999</v>
      </c>
      <c r="J257" s="105"/>
      <c r="L257" s="105"/>
    </row>
    <row r="258" spans="1:27" x14ac:dyDescent="0.35">
      <c r="A258" s="131">
        <v>7</v>
      </c>
      <c r="B258" s="132" t="str">
        <f>'Station Details'!B8</f>
        <v>Turkeghat</v>
      </c>
      <c r="C258" s="133">
        <f>'Station Details'!C8</f>
        <v>604.5</v>
      </c>
      <c r="D258" s="320">
        <f>'Station Details'!D8</f>
        <v>28601.893849</v>
      </c>
      <c r="E258" s="319">
        <f>'Station Details'!E8</f>
        <v>5.1300798742433651E-2</v>
      </c>
      <c r="F258" s="319">
        <f>'Station Details'!F8</f>
        <v>0.57277326062703271</v>
      </c>
      <c r="G258" s="319">
        <f>'Station Details'!G8</f>
        <v>0.37592615568622312</v>
      </c>
      <c r="H258" s="133">
        <f>'Station Details'!H8</f>
        <v>17849.7</v>
      </c>
      <c r="J258" s="105"/>
      <c r="L258" s="105"/>
    </row>
    <row r="259" spans="1:27" x14ac:dyDescent="0.35">
      <c r="A259" s="150"/>
      <c r="B259" s="316"/>
      <c r="C259" s="317"/>
      <c r="D259" s="317"/>
      <c r="E259" s="318"/>
      <c r="F259" s="318"/>
      <c r="G259" s="318"/>
      <c r="H259" s="317"/>
      <c r="J259" s="105"/>
      <c r="L259" s="105"/>
    </row>
    <row r="260" spans="1:27" x14ac:dyDescent="0.35">
      <c r="A260" s="150"/>
      <c r="B260" s="316"/>
      <c r="C260" s="317"/>
      <c r="D260" s="317"/>
      <c r="E260" s="318"/>
      <c r="F260" s="318"/>
      <c r="G260" s="318"/>
      <c r="H260" s="317"/>
      <c r="J260" s="105"/>
      <c r="L260" s="105"/>
    </row>
    <row r="261" spans="1:27" x14ac:dyDescent="0.35">
      <c r="O261" s="105"/>
      <c r="P261" s="136"/>
      <c r="AA261" s="137"/>
    </row>
    <row r="262" spans="1:27" x14ac:dyDescent="0.35">
      <c r="A262" s="167" t="s">
        <v>263</v>
      </c>
      <c r="B262" s="87"/>
      <c r="C262" s="87"/>
      <c r="D262" s="87"/>
      <c r="E262" s="87"/>
      <c r="F262" s="87"/>
      <c r="O262" s="105"/>
      <c r="P262" s="136"/>
      <c r="AA262" s="137"/>
    </row>
    <row r="263" spans="1:27" x14ac:dyDescent="0.35">
      <c r="A263" s="139"/>
      <c r="B263" s="139"/>
      <c r="C263" s="139"/>
      <c r="D263" s="139"/>
      <c r="E263" s="140"/>
      <c r="F263" s="140"/>
      <c r="G263" s="140"/>
      <c r="H263" s="140"/>
      <c r="I263" s="140"/>
      <c r="J263" s="140"/>
      <c r="K263" s="140"/>
      <c r="L263" s="141"/>
      <c r="M263" s="141"/>
      <c r="N263" s="141"/>
      <c r="O263" s="141"/>
      <c r="P263" s="136"/>
      <c r="AA263" s="137"/>
    </row>
    <row r="264" spans="1:27" ht="18.75" x14ac:dyDescent="0.35">
      <c r="A264" s="133" t="s">
        <v>59</v>
      </c>
      <c r="B264" s="340" t="s">
        <v>99</v>
      </c>
      <c r="C264" s="341"/>
      <c r="D264" s="342"/>
      <c r="E264" s="326" t="s">
        <v>2</v>
      </c>
      <c r="F264" s="326" t="s">
        <v>98</v>
      </c>
      <c r="G264" s="326" t="s">
        <v>36</v>
      </c>
      <c r="H264" s="326" t="s">
        <v>3</v>
      </c>
      <c r="I264" s="326" t="s">
        <v>37</v>
      </c>
      <c r="J264" s="326" t="s">
        <v>38</v>
      </c>
      <c r="K264" s="326" t="s">
        <v>4</v>
      </c>
      <c r="L264" s="326" t="s">
        <v>39</v>
      </c>
      <c r="M264" s="326" t="s">
        <v>5</v>
      </c>
      <c r="N264" s="326" t="s">
        <v>6</v>
      </c>
      <c r="O264" s="326" t="s">
        <v>226</v>
      </c>
      <c r="P264" s="326" t="s">
        <v>227</v>
      </c>
      <c r="AA264" s="137"/>
    </row>
    <row r="265" spans="1:27" x14ac:dyDescent="0.35">
      <c r="A265" s="133"/>
      <c r="B265" s="133" t="s">
        <v>60</v>
      </c>
      <c r="C265" s="135" t="s">
        <v>62</v>
      </c>
      <c r="D265" s="135" t="s">
        <v>61</v>
      </c>
      <c r="E265" s="339"/>
      <c r="F265" s="327"/>
      <c r="G265" s="327"/>
      <c r="H265" s="327"/>
      <c r="I265" s="327"/>
      <c r="J265" s="327"/>
      <c r="K265" s="327"/>
      <c r="L265" s="327"/>
      <c r="M265" s="327"/>
      <c r="N265" s="327"/>
      <c r="O265" s="327"/>
      <c r="P265" s="327"/>
      <c r="AA265" s="137"/>
    </row>
    <row r="266" spans="1:27" x14ac:dyDescent="0.35">
      <c r="A266" s="135" t="str">
        <f>'Regional flood frequency analys'!A265</f>
        <v>Uwa Gaon</v>
      </c>
      <c r="B266" s="142">
        <f>'Regional flood frequency analys'!B265</f>
        <v>27090.762891999999</v>
      </c>
      <c r="C266" s="142">
        <f>'Regional flood frequency analys'!C265</f>
        <v>16396.2</v>
      </c>
      <c r="D266" s="142">
        <f>'Regional flood frequency analys'!D265</f>
        <v>10694.562891999998</v>
      </c>
      <c r="E266" s="142">
        <f>'Regional flood frequency analys'!E265</f>
        <v>1333.6379986843704</v>
      </c>
      <c r="F266" s="142">
        <f>'Regional flood frequency analys'!F265</f>
        <v>1373.2970216638953</v>
      </c>
      <c r="G266" s="142">
        <f>'Regional flood frequency analys'!G265</f>
        <v>1545.5938004055492</v>
      </c>
      <c r="H266" s="142">
        <f>'Regional flood frequency analys'!H265</f>
        <v>1685.92698402782</v>
      </c>
      <c r="I266" s="142">
        <f>'Regional flood frequency analys'!I265</f>
        <v>1820.5379429543755</v>
      </c>
      <c r="J266" s="142">
        <f>'Regional flood frequency analys'!J265</f>
        <v>1994.778021671088</v>
      </c>
      <c r="K266" s="142">
        <f>'Regional flood frequency analys'!K265</f>
        <v>2125.3464413823722</v>
      </c>
      <c r="L266" s="142">
        <f>'Regional flood frequency analys'!L265</f>
        <v>2255.4384388626427</v>
      </c>
      <c r="M266" s="142">
        <f>'Regional flood frequency analys'!M265</f>
        <v>2427.0701270491995</v>
      </c>
      <c r="N266" s="142">
        <f>'Regional flood frequency analys'!N265</f>
        <v>2556.7852903027942</v>
      </c>
      <c r="O266" s="142">
        <f>'Regional flood frequency analys'!O265</f>
        <v>2857.8320342625011</v>
      </c>
      <c r="P266" s="142">
        <f>'Regional flood frequency analys'!P265</f>
        <v>2987.462929682134</v>
      </c>
    </row>
    <row r="267" spans="1:27" x14ac:dyDescent="0.35">
      <c r="A267" s="135" t="str">
        <f>'Regional flood frequency analys'!A266</f>
        <v>Sabhaya</v>
      </c>
      <c r="B267" s="142">
        <f>'Regional flood frequency analys'!B266</f>
        <v>391.36</v>
      </c>
      <c r="C267" s="142">
        <f>'Regional flood frequency analys'!C266</f>
        <v>391.36</v>
      </c>
      <c r="D267" s="142">
        <f>'Regional flood frequency analys'!D266</f>
        <v>0</v>
      </c>
      <c r="E267" s="142" t="e">
        <f>'Regional flood frequency analys'!E266</f>
        <v>#NUM!</v>
      </c>
      <c r="F267" s="142" t="e">
        <f>'Regional flood frequency analys'!F266</f>
        <v>#NUM!</v>
      </c>
      <c r="G267" s="142" t="e">
        <f>'Regional flood frequency analys'!G266</f>
        <v>#NUM!</v>
      </c>
      <c r="H267" s="142" t="e">
        <f>'Regional flood frequency analys'!H266</f>
        <v>#NUM!</v>
      </c>
      <c r="I267" s="142" t="e">
        <f>'Regional flood frequency analys'!I266</f>
        <v>#NUM!</v>
      </c>
      <c r="J267" s="142" t="e">
        <f>'Regional flood frequency analys'!J266</f>
        <v>#NUM!</v>
      </c>
      <c r="K267" s="142" t="e">
        <f>'Regional flood frequency analys'!K266</f>
        <v>#NUM!</v>
      </c>
      <c r="L267" s="142" t="e">
        <f>'Regional flood frequency analys'!L266</f>
        <v>#NUM!</v>
      </c>
      <c r="M267" s="142" t="e">
        <f>'Regional flood frequency analys'!M266</f>
        <v>#NUM!</v>
      </c>
      <c r="N267" s="142" t="e">
        <f>'Regional flood frequency analys'!N266</f>
        <v>#NUM!</v>
      </c>
      <c r="O267" s="142" t="e">
        <f>'Regional flood frequency analys'!O266</f>
        <v>#NUM!</v>
      </c>
      <c r="P267" s="142" t="e">
        <f>'Regional flood frequency analys'!P266</f>
        <v>#NUM!</v>
      </c>
    </row>
    <row r="268" spans="1:27" x14ac:dyDescent="0.35">
      <c r="A268" s="135" t="str">
        <f>'Regional flood frequency analys'!A267</f>
        <v>Hinwa</v>
      </c>
      <c r="B268" s="142">
        <f>'Regional flood frequency analys'!B267</f>
        <v>148.13999999999999</v>
      </c>
      <c r="C268" s="142">
        <f>'Regional flood frequency analys'!C267</f>
        <v>148.13999999999999</v>
      </c>
      <c r="D268" s="142">
        <f>'Regional flood frequency analys'!D267</f>
        <v>0</v>
      </c>
      <c r="E268" s="142">
        <f>'Regional flood frequency analys'!E267</f>
        <v>42.938933036017502</v>
      </c>
      <c r="F268" s="142">
        <f>'Regional flood frequency analys'!F267</f>
        <v>45.59637317870736</v>
      </c>
      <c r="G268" s="142">
        <f>'Regional flood frequency analys'!G267</f>
        <v>57.141498143601538</v>
      </c>
      <c r="H268" s="142">
        <f>'Regional flood frequency analys'!H267</f>
        <v>66.544832050788926</v>
      </c>
      <c r="I268" s="142">
        <f>'Regional flood frequency analys'!I267</f>
        <v>75.564735694963105</v>
      </c>
      <c r="J268" s="142">
        <f>'Regional flood frequency analys'!J267</f>
        <v>87.240075752792762</v>
      </c>
      <c r="K268" s="142">
        <f>'Regional flood frequency analys'!K267</f>
        <v>95.98910015733955</v>
      </c>
      <c r="L268" s="142">
        <f>'Regional flood frequency analys'!L267</f>
        <v>104.70620084147045</v>
      </c>
      <c r="M268" s="142">
        <f>'Regional flood frequency analys'!M267</f>
        <v>116.20675994954684</v>
      </c>
      <c r="N268" s="142">
        <f>'Regional flood frequency analys'!N267</f>
        <v>124.89861002673202</v>
      </c>
      <c r="O268" s="142">
        <f>'Regional flood frequency analys'!O267</f>
        <v>145.07090984959029</v>
      </c>
      <c r="P268" s="142">
        <f>'Regional flood frequency analys'!P267</f>
        <v>153.75711337504814</v>
      </c>
    </row>
    <row r="269" spans="1:27" x14ac:dyDescent="0.35">
      <c r="A269" s="135" t="str">
        <f>'Regional flood frequency analys'!A268</f>
        <v>Turkeghat</v>
      </c>
      <c r="B269" s="142">
        <f>'Regional flood frequency analys'!B268</f>
        <v>28601.893849</v>
      </c>
      <c r="C269" s="142">
        <f>'Regional flood frequency analys'!C268</f>
        <v>17849.7</v>
      </c>
      <c r="D269" s="142">
        <f>'Regional flood frequency analys'!D268</f>
        <v>10752.193848999999</v>
      </c>
      <c r="E269" s="142">
        <f>'Regional flood frequency analys'!E268</f>
        <v>2798.584155022234</v>
      </c>
      <c r="F269" s="142">
        <f>'Regional flood frequency analys'!F268</f>
        <v>2964.5585453983908</v>
      </c>
      <c r="G269" s="142">
        <f>'Regional flood frequency analys'!G268</f>
        <v>3707.1927614848119</v>
      </c>
      <c r="H269" s="142">
        <f>'Regional flood frequency analys'!H268</f>
        <v>4334.4680606506599</v>
      </c>
      <c r="I269" s="142">
        <f>'Regional flood frequency analys'!I268</f>
        <v>4955.7672728051257</v>
      </c>
      <c r="J269" s="142">
        <f>'Regional flood frequency analys'!J268</f>
        <v>5793.0706203962409</v>
      </c>
      <c r="K269" s="142">
        <f>'Regional flood frequency analys'!K268</f>
        <v>6449.0721459088163</v>
      </c>
      <c r="L269" s="142">
        <f>'Regional flood frequency analys'!L268</f>
        <v>7130.5653035371224</v>
      </c>
      <c r="M269" s="142">
        <f>'Regional flood frequency analys'!M268</f>
        <v>8077.4973906914993</v>
      </c>
      <c r="N269" s="142">
        <f>'Regional flood frequency analys'!N268</f>
        <v>8833.080041107647</v>
      </c>
      <c r="O269" s="142">
        <f>'Regional flood frequency analys'!O268</f>
        <v>10736.078061451466</v>
      </c>
      <c r="P269" s="142">
        <f>'Regional flood frequency analys'!P268</f>
        <v>11626.531655402445</v>
      </c>
      <c r="S269" s="143"/>
      <c r="T269" s="143"/>
      <c r="U269" s="143"/>
      <c r="V269" s="143"/>
      <c r="W269" s="143"/>
      <c r="Y269" s="143"/>
      <c r="Z269" s="143"/>
    </row>
    <row r="271" spans="1:27" x14ac:dyDescent="0.35">
      <c r="A271" s="87" t="s">
        <v>149</v>
      </c>
    </row>
    <row r="272" spans="1:27" x14ac:dyDescent="0.35">
      <c r="D272" s="356" t="s">
        <v>146</v>
      </c>
      <c r="E272" s="357"/>
      <c r="F272" s="357"/>
      <c r="G272" s="357"/>
      <c r="H272" s="357"/>
      <c r="I272" s="357"/>
      <c r="J272" s="357"/>
      <c r="K272" s="357"/>
      <c r="L272" s="357"/>
      <c r="M272" s="357"/>
      <c r="N272" s="357"/>
      <c r="O272" s="357"/>
    </row>
    <row r="273" spans="1:29" ht="21.75" x14ac:dyDescent="0.35">
      <c r="A273" s="333" t="s">
        <v>59</v>
      </c>
      <c r="B273" s="354" t="s">
        <v>127</v>
      </c>
      <c r="C273" s="355"/>
      <c r="D273" s="155" t="s">
        <v>112</v>
      </c>
      <c r="E273" s="155" t="s">
        <v>121</v>
      </c>
      <c r="F273" s="155" t="s">
        <v>113</v>
      </c>
      <c r="G273" s="155" t="s">
        <v>114</v>
      </c>
      <c r="H273" s="155" t="s">
        <v>115</v>
      </c>
      <c r="I273" s="155" t="s">
        <v>116</v>
      </c>
      <c r="J273" s="155" t="s">
        <v>117</v>
      </c>
      <c r="K273" s="155" t="s">
        <v>118</v>
      </c>
      <c r="L273" s="155" t="s">
        <v>119</v>
      </c>
      <c r="M273" s="155" t="s">
        <v>120</v>
      </c>
      <c r="N273" s="280" t="s">
        <v>228</v>
      </c>
      <c r="O273" s="280" t="s">
        <v>225</v>
      </c>
    </row>
    <row r="274" spans="1:29" ht="33.75" customHeight="1" x14ac:dyDescent="0.35">
      <c r="A274" s="333"/>
      <c r="B274" s="128" t="s">
        <v>60</v>
      </c>
      <c r="C274" s="181" t="s">
        <v>126</v>
      </c>
      <c r="D274" s="153">
        <v>2</v>
      </c>
      <c r="E274" s="153">
        <v>2.33</v>
      </c>
      <c r="F274" s="153">
        <v>5</v>
      </c>
      <c r="G274" s="153">
        <v>10</v>
      </c>
      <c r="H274" s="153">
        <v>20</v>
      </c>
      <c r="I274" s="153">
        <v>50</v>
      </c>
      <c r="J274" s="153">
        <v>100</v>
      </c>
      <c r="K274" s="153">
        <v>200</v>
      </c>
      <c r="L274" s="153">
        <v>500</v>
      </c>
      <c r="M274" s="153">
        <v>1000</v>
      </c>
      <c r="N274" s="153">
        <v>5000</v>
      </c>
      <c r="O274" s="153">
        <v>10000</v>
      </c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</row>
    <row r="275" spans="1:29" x14ac:dyDescent="0.35">
      <c r="A275" s="135" t="str">
        <f>+A268</f>
        <v>Hinwa</v>
      </c>
      <c r="B275" s="142">
        <f>+B268</f>
        <v>148.13999999999999</v>
      </c>
      <c r="C275" s="142">
        <f>+C268</f>
        <v>148.13999999999999</v>
      </c>
      <c r="D275" s="174">
        <f t="shared" ref="D275:O275" si="0">+E268</f>
        <v>42.938933036017502</v>
      </c>
      <c r="E275" s="174">
        <f t="shared" si="0"/>
        <v>45.59637317870736</v>
      </c>
      <c r="F275" s="174">
        <f t="shared" si="0"/>
        <v>57.141498143601538</v>
      </c>
      <c r="G275" s="174">
        <f t="shared" si="0"/>
        <v>66.544832050788926</v>
      </c>
      <c r="H275" s="174">
        <f t="shared" si="0"/>
        <v>75.564735694963105</v>
      </c>
      <c r="I275" s="174">
        <f t="shared" si="0"/>
        <v>87.240075752792762</v>
      </c>
      <c r="J275" s="174">
        <f t="shared" si="0"/>
        <v>95.98910015733955</v>
      </c>
      <c r="K275" s="174">
        <f t="shared" si="0"/>
        <v>104.70620084147045</v>
      </c>
      <c r="L275" s="174">
        <f t="shared" si="0"/>
        <v>116.20675994954684</v>
      </c>
      <c r="M275" s="174">
        <f t="shared" si="0"/>
        <v>124.89861002673202</v>
      </c>
      <c r="N275" s="174">
        <f t="shared" si="0"/>
        <v>145.07090984959029</v>
      </c>
      <c r="O275" s="174">
        <f t="shared" si="0"/>
        <v>153.75711337504814</v>
      </c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212"/>
    </row>
    <row r="276" spans="1:29" x14ac:dyDescent="0.35">
      <c r="A276" s="135" t="str">
        <f>+A267</f>
        <v>Sabhaya</v>
      </c>
      <c r="B276" s="142">
        <f>+B267</f>
        <v>391.36</v>
      </c>
      <c r="C276" s="142">
        <f>+C267</f>
        <v>391.36</v>
      </c>
      <c r="D276" s="174" t="e">
        <f t="shared" ref="D276:O276" si="1">+E267</f>
        <v>#NUM!</v>
      </c>
      <c r="E276" s="174" t="e">
        <f t="shared" si="1"/>
        <v>#NUM!</v>
      </c>
      <c r="F276" s="174" t="e">
        <f t="shared" si="1"/>
        <v>#NUM!</v>
      </c>
      <c r="G276" s="174" t="e">
        <f t="shared" si="1"/>
        <v>#NUM!</v>
      </c>
      <c r="H276" s="174" t="e">
        <f t="shared" si="1"/>
        <v>#NUM!</v>
      </c>
      <c r="I276" s="174" t="e">
        <f t="shared" si="1"/>
        <v>#NUM!</v>
      </c>
      <c r="J276" s="174" t="e">
        <f t="shared" si="1"/>
        <v>#NUM!</v>
      </c>
      <c r="K276" s="174" t="e">
        <f t="shared" si="1"/>
        <v>#NUM!</v>
      </c>
      <c r="L276" s="174" t="e">
        <f t="shared" si="1"/>
        <v>#NUM!</v>
      </c>
      <c r="M276" s="174" t="e">
        <f t="shared" si="1"/>
        <v>#NUM!</v>
      </c>
      <c r="N276" s="174" t="e">
        <f t="shared" si="1"/>
        <v>#NUM!</v>
      </c>
      <c r="O276" s="174" t="e">
        <f t="shared" si="1"/>
        <v>#NUM!</v>
      </c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212"/>
    </row>
    <row r="277" spans="1:29" x14ac:dyDescent="0.35">
      <c r="A277" s="135" t="str">
        <f>+A266</f>
        <v>Uwa Gaon</v>
      </c>
      <c r="B277" s="142">
        <f>+B266</f>
        <v>27090.762891999999</v>
      </c>
      <c r="C277" s="142">
        <f>+C266</f>
        <v>16396.2</v>
      </c>
      <c r="D277" s="174">
        <f t="shared" ref="D277:O277" si="2">+E266</f>
        <v>1333.6379986843704</v>
      </c>
      <c r="E277" s="174">
        <f t="shared" si="2"/>
        <v>1373.2970216638953</v>
      </c>
      <c r="F277" s="174">
        <f t="shared" si="2"/>
        <v>1545.5938004055492</v>
      </c>
      <c r="G277" s="174">
        <f t="shared" si="2"/>
        <v>1685.92698402782</v>
      </c>
      <c r="H277" s="174">
        <f t="shared" si="2"/>
        <v>1820.5379429543755</v>
      </c>
      <c r="I277" s="174">
        <f t="shared" si="2"/>
        <v>1994.778021671088</v>
      </c>
      <c r="J277" s="174">
        <f t="shared" si="2"/>
        <v>2125.3464413823722</v>
      </c>
      <c r="K277" s="174">
        <f t="shared" si="2"/>
        <v>2255.4384388626427</v>
      </c>
      <c r="L277" s="174">
        <f t="shared" si="2"/>
        <v>2427.0701270491995</v>
      </c>
      <c r="M277" s="174">
        <f t="shared" si="2"/>
        <v>2556.7852903027942</v>
      </c>
      <c r="N277" s="174">
        <f t="shared" si="2"/>
        <v>2857.8320342625011</v>
      </c>
      <c r="O277" s="174">
        <f t="shared" si="2"/>
        <v>2987.462929682134</v>
      </c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212"/>
    </row>
    <row r="278" spans="1:29" x14ac:dyDescent="0.35">
      <c r="A278" s="135" t="str">
        <f>+A269</f>
        <v>Turkeghat</v>
      </c>
      <c r="B278" s="142">
        <f>+B269</f>
        <v>28601.893849</v>
      </c>
      <c r="C278" s="142">
        <f>+C269</f>
        <v>17849.7</v>
      </c>
      <c r="D278" s="174">
        <f t="shared" ref="D278:O278" si="3">+E269</f>
        <v>2798.584155022234</v>
      </c>
      <c r="E278" s="174">
        <f t="shared" si="3"/>
        <v>2964.5585453983908</v>
      </c>
      <c r="F278" s="174">
        <f t="shared" si="3"/>
        <v>3707.1927614848119</v>
      </c>
      <c r="G278" s="174">
        <f t="shared" si="3"/>
        <v>4334.4680606506599</v>
      </c>
      <c r="H278" s="174">
        <f t="shared" si="3"/>
        <v>4955.7672728051257</v>
      </c>
      <c r="I278" s="174">
        <f t="shared" si="3"/>
        <v>5793.0706203962409</v>
      </c>
      <c r="J278" s="174">
        <f t="shared" si="3"/>
        <v>6449.0721459088163</v>
      </c>
      <c r="K278" s="174">
        <f t="shared" si="3"/>
        <v>7130.5653035371224</v>
      </c>
      <c r="L278" s="174">
        <f t="shared" si="3"/>
        <v>8077.4973906914993</v>
      </c>
      <c r="M278" s="174">
        <f t="shared" si="3"/>
        <v>8833.080041107647</v>
      </c>
      <c r="N278" s="174">
        <f t="shared" si="3"/>
        <v>10736.078061451466</v>
      </c>
      <c r="O278" s="174">
        <f t="shared" si="3"/>
        <v>11626.531655402445</v>
      </c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212"/>
    </row>
    <row r="279" spans="1:29" x14ac:dyDescent="0.35">
      <c r="A279" s="143"/>
      <c r="B279" s="150"/>
      <c r="C279" s="143"/>
      <c r="D279" s="151"/>
      <c r="E279" s="143"/>
      <c r="F279" s="152"/>
      <c r="P279" s="205" t="str">
        <f>+D273</f>
        <v>Q2</v>
      </c>
      <c r="U279" s="205" t="str">
        <f>+E273</f>
        <v>Q2.33</v>
      </c>
      <c r="Z279" s="205" t="str">
        <f>+F273</f>
        <v>Q5</v>
      </c>
    </row>
    <row r="280" spans="1:29" x14ac:dyDescent="0.35">
      <c r="A280" s="143"/>
      <c r="B280" s="150"/>
      <c r="C280" s="143"/>
      <c r="D280" s="151"/>
      <c r="E280" s="143"/>
      <c r="F280" s="152"/>
      <c r="J280" s="197"/>
      <c r="K280" s="197"/>
      <c r="L280" s="197"/>
      <c r="M280" s="197"/>
      <c r="N280" s="197"/>
      <c r="O280" s="197"/>
      <c r="P280" s="203" t="s">
        <v>138</v>
      </c>
      <c r="Q280" s="203" t="s">
        <v>139</v>
      </c>
      <c r="R280" s="203" t="s">
        <v>140</v>
      </c>
      <c r="S280" s="197"/>
      <c r="T280" s="197"/>
      <c r="U280" s="203" t="s">
        <v>138</v>
      </c>
      <c r="V280" s="203" t="s">
        <v>139</v>
      </c>
      <c r="W280" s="203" t="s">
        <v>140</v>
      </c>
      <c r="Y280" s="197"/>
      <c r="Z280" s="203" t="s">
        <v>138</v>
      </c>
      <c r="AA280" s="203" t="s">
        <v>139</v>
      </c>
      <c r="AB280" s="203" t="s">
        <v>140</v>
      </c>
    </row>
    <row r="281" spans="1:29" x14ac:dyDescent="0.35">
      <c r="J281" s="198"/>
      <c r="K281" s="198"/>
      <c r="L281" s="198"/>
      <c r="M281" s="198"/>
      <c r="N281" s="198"/>
      <c r="O281" s="135" t="s">
        <v>143</v>
      </c>
      <c r="P281" s="206" t="e">
        <f t="array" ref="P281:R288">LINEST(D275:D278,C275:C278^{1,2},TRUE,TRUE)</f>
        <v>#VALUE!</v>
      </c>
      <c r="Q281" s="207" t="e">
        <v>#VALUE!</v>
      </c>
      <c r="R281" s="207" t="e">
        <v>#VALUE!</v>
      </c>
      <c r="S281" s="198"/>
      <c r="T281" s="135" t="s">
        <v>143</v>
      </c>
      <c r="U281" s="206" t="e">
        <f t="array" ref="U281:W288">LINEST(E275:E278,C275:C278^{1,2},TRUE,TRUE)</f>
        <v>#VALUE!</v>
      </c>
      <c r="V281" s="207" t="e">
        <v>#VALUE!</v>
      </c>
      <c r="W281" s="207" t="e">
        <v>#VALUE!</v>
      </c>
      <c r="Y281" s="135" t="s">
        <v>143</v>
      </c>
      <c r="Z281" s="206" t="e">
        <f t="array" ref="Z281:AB288">LINEST(F275:F278,C275:C278^{1,2},TRUE,TRUE)</f>
        <v>#VALUE!</v>
      </c>
      <c r="AA281" s="207" t="e">
        <v>#VALUE!</v>
      </c>
      <c r="AB281" s="207" t="e">
        <v>#VALUE!</v>
      </c>
    </row>
    <row r="282" spans="1:29" x14ac:dyDescent="0.35">
      <c r="J282" s="198"/>
      <c r="O282" s="135" t="s">
        <v>144</v>
      </c>
      <c r="P282" s="201" t="e">
        <v>#VALUE!</v>
      </c>
      <c r="Q282" s="202" t="e">
        <v>#VALUE!</v>
      </c>
      <c r="R282" s="202" t="e">
        <v>#VALUE!</v>
      </c>
      <c r="T282" s="135" t="s">
        <v>144</v>
      </c>
      <c r="U282" s="201" t="e">
        <v>#VALUE!</v>
      </c>
      <c r="V282" s="202" t="e">
        <v>#VALUE!</v>
      </c>
      <c r="W282" s="202" t="e">
        <v>#VALUE!</v>
      </c>
      <c r="Y282" s="135" t="s">
        <v>144</v>
      </c>
      <c r="Z282" s="201" t="e">
        <v>#VALUE!</v>
      </c>
      <c r="AA282" s="202" t="e">
        <v>#VALUE!</v>
      </c>
      <c r="AB282" s="202" t="e">
        <v>#VALUE!</v>
      </c>
    </row>
    <row r="283" spans="1:29" ht="18.75" x14ac:dyDescent="0.35">
      <c r="O283" s="135" t="s">
        <v>142</v>
      </c>
      <c r="P283" s="209" t="e">
        <v>#VALUE!</v>
      </c>
      <c r="Q283" s="202" t="e">
        <v>#VALUE!</v>
      </c>
      <c r="R283" s="202" t="e">
        <v>#VALUE!</v>
      </c>
      <c r="T283" s="135" t="s">
        <v>142</v>
      </c>
      <c r="U283" s="209" t="e">
        <v>#VALUE!</v>
      </c>
      <c r="V283" s="202" t="e">
        <v>#VALUE!</v>
      </c>
      <c r="W283" s="202" t="e">
        <v>#VALUE!</v>
      </c>
      <c r="Y283" s="135" t="s">
        <v>142</v>
      </c>
      <c r="Z283" s="209" t="e">
        <v>#VALUE!</v>
      </c>
      <c r="AA283" s="202" t="e">
        <v>#VALUE!</v>
      </c>
      <c r="AB283" s="202" t="e">
        <v>#VALUE!</v>
      </c>
    </row>
    <row r="284" spans="1:29" ht="18.75" x14ac:dyDescent="0.35">
      <c r="J284" s="198"/>
      <c r="O284" s="336" t="s">
        <v>144</v>
      </c>
      <c r="P284" s="202" t="e">
        <v>#VALUE!</v>
      </c>
      <c r="Q284" s="202" t="e">
        <v>#VALUE!</v>
      </c>
      <c r="R284" s="202" t="e">
        <v>#VALUE!</v>
      </c>
      <c r="S284" s="199"/>
      <c r="T284" s="336" t="s">
        <v>144</v>
      </c>
      <c r="U284" s="202" t="e">
        <v>#VALUE!</v>
      </c>
      <c r="V284" s="202" t="e">
        <v>#VALUE!</v>
      </c>
      <c r="W284" s="202" t="e">
        <v>#VALUE!</v>
      </c>
      <c r="X284" s="199"/>
      <c r="Y284" s="336" t="s">
        <v>144</v>
      </c>
      <c r="Z284" s="202" t="e">
        <v>#VALUE!</v>
      </c>
      <c r="AA284" s="202" t="e">
        <v>#VALUE!</v>
      </c>
      <c r="AB284" s="202" t="e">
        <v>#VALUE!</v>
      </c>
    </row>
    <row r="285" spans="1:29" ht="18.75" x14ac:dyDescent="0.35">
      <c r="O285" s="337"/>
      <c r="P285" s="202" t="e">
        <v>#VALUE!</v>
      </c>
      <c r="Q285" s="202" t="e">
        <v>#VALUE!</v>
      </c>
      <c r="R285" s="202" t="e">
        <v>#VALUE!</v>
      </c>
      <c r="S285" s="199"/>
      <c r="T285" s="337"/>
      <c r="U285" s="202" t="e">
        <v>#VALUE!</v>
      </c>
      <c r="V285" s="202" t="e">
        <v>#VALUE!</v>
      </c>
      <c r="W285" s="202" t="e">
        <v>#VALUE!</v>
      </c>
      <c r="X285" s="199"/>
      <c r="Y285" s="337"/>
      <c r="Z285" s="202" t="e">
        <v>#VALUE!</v>
      </c>
      <c r="AA285" s="202" t="e">
        <v>#VALUE!</v>
      </c>
      <c r="AB285" s="202" t="e">
        <v>#VALUE!</v>
      </c>
    </row>
    <row r="286" spans="1:29" ht="18.75" x14ac:dyDescent="0.35">
      <c r="O286" s="337"/>
      <c r="P286" s="202" t="e">
        <v>#VALUE!</v>
      </c>
      <c r="Q286" s="202" t="e">
        <v>#VALUE!</v>
      </c>
      <c r="R286" s="202" t="e">
        <v>#VALUE!</v>
      </c>
      <c r="S286" s="199"/>
      <c r="T286" s="337"/>
      <c r="U286" s="202" t="e">
        <v>#VALUE!</v>
      </c>
      <c r="V286" s="202" t="e">
        <v>#VALUE!</v>
      </c>
      <c r="W286" s="202" t="e">
        <v>#VALUE!</v>
      </c>
      <c r="X286" s="199"/>
      <c r="Y286" s="337"/>
      <c r="Z286" s="202" t="e">
        <v>#VALUE!</v>
      </c>
      <c r="AA286" s="202" t="e">
        <v>#VALUE!</v>
      </c>
      <c r="AB286" s="202" t="e">
        <v>#VALUE!</v>
      </c>
    </row>
    <row r="287" spans="1:29" x14ac:dyDescent="0.35">
      <c r="O287" s="337"/>
      <c r="P287" s="202" t="e">
        <v>#VALUE!</v>
      </c>
      <c r="Q287" s="202" t="e">
        <v>#VALUE!</v>
      </c>
      <c r="R287" s="202" t="e">
        <v>#VALUE!</v>
      </c>
      <c r="T287" s="337"/>
      <c r="U287" s="202" t="e">
        <v>#VALUE!</v>
      </c>
      <c r="V287" s="202" t="e">
        <v>#VALUE!</v>
      </c>
      <c r="W287" s="202" t="e">
        <v>#VALUE!</v>
      </c>
      <c r="Y287" s="337"/>
      <c r="Z287" s="202" t="e">
        <v>#VALUE!</v>
      </c>
      <c r="AA287" s="202" t="e">
        <v>#VALUE!</v>
      </c>
      <c r="AB287" s="202" t="e">
        <v>#VALUE!</v>
      </c>
    </row>
    <row r="288" spans="1:29" x14ac:dyDescent="0.35">
      <c r="O288" s="338"/>
      <c r="P288" s="202" t="e">
        <v>#VALUE!</v>
      </c>
      <c r="Q288" s="202" t="e">
        <v>#VALUE!</v>
      </c>
      <c r="R288" s="202" t="e">
        <v>#VALUE!</v>
      </c>
      <c r="T288" s="338"/>
      <c r="U288" s="202" t="e">
        <v>#VALUE!</v>
      </c>
      <c r="V288" s="202" t="e">
        <v>#VALUE!</v>
      </c>
      <c r="W288" s="202" t="e">
        <v>#VALUE!</v>
      </c>
      <c r="Y288" s="338"/>
      <c r="Z288" s="202" t="e">
        <v>#VALUE!</v>
      </c>
      <c r="AA288" s="202" t="e">
        <v>#VALUE!</v>
      </c>
      <c r="AB288" s="202" t="e">
        <v>#VALUE!</v>
      </c>
    </row>
    <row r="289" spans="12:28" ht="18.75" x14ac:dyDescent="0.35">
      <c r="P289" s="200"/>
      <c r="Q289" s="200"/>
      <c r="R289" s="200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</row>
    <row r="290" spans="12:28" ht="18.75" x14ac:dyDescent="0.35">
      <c r="L290" s="104"/>
      <c r="Q290" s="210" t="s">
        <v>141</v>
      </c>
      <c r="R290" s="204"/>
      <c r="S290" s="199"/>
      <c r="V290" s="210" t="s">
        <v>141</v>
      </c>
      <c r="W290" s="204"/>
      <c r="X290" s="199"/>
      <c r="AA290" s="210" t="s">
        <v>141</v>
      </c>
      <c r="AB290" s="204"/>
    </row>
    <row r="291" spans="12:28" ht="18.75" x14ac:dyDescent="0.35">
      <c r="L291" s="104"/>
      <c r="P291" s="205" t="str">
        <f>+G273</f>
        <v>Q10</v>
      </c>
      <c r="S291" s="199"/>
      <c r="U291" s="205" t="str">
        <f>+H273</f>
        <v>Q20</v>
      </c>
      <c r="X291" s="199"/>
      <c r="Z291" s="205" t="str">
        <f>+I273</f>
        <v>Q50</v>
      </c>
    </row>
    <row r="292" spans="12:28" x14ac:dyDescent="0.35">
      <c r="L292" s="104"/>
      <c r="O292" s="197"/>
      <c r="P292" s="203" t="s">
        <v>138</v>
      </c>
      <c r="Q292" s="203" t="s">
        <v>139</v>
      </c>
      <c r="R292" s="203" t="s">
        <v>140</v>
      </c>
      <c r="T292" s="197"/>
      <c r="U292" s="203" t="s">
        <v>138</v>
      </c>
      <c r="V292" s="203" t="s">
        <v>139</v>
      </c>
      <c r="W292" s="203" t="s">
        <v>140</v>
      </c>
      <c r="Y292" s="197"/>
      <c r="Z292" s="203" t="s">
        <v>138</v>
      </c>
      <c r="AA292" s="203" t="s">
        <v>139</v>
      </c>
      <c r="AB292" s="203" t="s">
        <v>140</v>
      </c>
    </row>
    <row r="293" spans="12:28" x14ac:dyDescent="0.35">
      <c r="L293" s="104"/>
      <c r="O293" s="135" t="s">
        <v>143</v>
      </c>
      <c r="P293" s="208" t="e">
        <f t="array" ref="P293:R300">LINEST(G275:G278,C275:C278^{1,2},TRUE,TRUE)</f>
        <v>#VALUE!</v>
      </c>
      <c r="Q293" s="208" t="e">
        <v>#VALUE!</v>
      </c>
      <c r="R293" s="208" t="e">
        <v>#VALUE!</v>
      </c>
      <c r="T293" s="135" t="s">
        <v>143</v>
      </c>
      <c r="U293" s="206" t="e">
        <f t="array" ref="U293:W300">LINEST(H275:H278,C275:C278^{1,2},TRUE,TRUE)</f>
        <v>#VALUE!</v>
      </c>
      <c r="V293" s="207" t="e">
        <v>#VALUE!</v>
      </c>
      <c r="W293" s="207" t="e">
        <v>#VALUE!</v>
      </c>
      <c r="Y293" s="135" t="s">
        <v>143</v>
      </c>
      <c r="Z293" s="206" t="e">
        <f t="array" ref="Z293:AB300">LINEST(I275:I278,C275:C278^{1,2},TRUE,TRUE)</f>
        <v>#VALUE!</v>
      </c>
      <c r="AA293" s="207" t="e">
        <v>#VALUE!</v>
      </c>
      <c r="AB293" s="207" t="e">
        <v>#VALUE!</v>
      </c>
    </row>
    <row r="294" spans="12:28" x14ac:dyDescent="0.35">
      <c r="L294" s="104"/>
      <c r="O294" s="135" t="s">
        <v>144</v>
      </c>
      <c r="P294" s="201" t="e">
        <v>#VALUE!</v>
      </c>
      <c r="Q294" s="202" t="e">
        <v>#VALUE!</v>
      </c>
      <c r="R294" s="202" t="e">
        <v>#VALUE!</v>
      </c>
      <c r="T294" s="135" t="s">
        <v>144</v>
      </c>
      <c r="U294" s="201" t="e">
        <v>#VALUE!</v>
      </c>
      <c r="V294" s="202" t="e">
        <v>#VALUE!</v>
      </c>
      <c r="W294" s="202" t="e">
        <v>#VALUE!</v>
      </c>
      <c r="Y294" s="135" t="s">
        <v>144</v>
      </c>
      <c r="Z294" s="201" t="e">
        <v>#VALUE!</v>
      </c>
      <c r="AA294" s="202" t="e">
        <v>#VALUE!</v>
      </c>
      <c r="AB294" s="202" t="e">
        <v>#VALUE!</v>
      </c>
    </row>
    <row r="295" spans="12:28" ht="18.75" x14ac:dyDescent="0.35">
      <c r="L295" s="104"/>
      <c r="O295" s="135" t="s">
        <v>142</v>
      </c>
      <c r="P295" s="209" t="e">
        <v>#VALUE!</v>
      </c>
      <c r="Q295" s="202" t="e">
        <v>#VALUE!</v>
      </c>
      <c r="R295" s="202" t="e">
        <v>#VALUE!</v>
      </c>
      <c r="T295" s="135" t="s">
        <v>142</v>
      </c>
      <c r="U295" s="209" t="e">
        <v>#VALUE!</v>
      </c>
      <c r="V295" s="202" t="e">
        <v>#VALUE!</v>
      </c>
      <c r="W295" s="202" t="e">
        <v>#VALUE!</v>
      </c>
      <c r="Y295" s="135" t="s">
        <v>142</v>
      </c>
      <c r="Z295" s="209" t="e">
        <v>#VALUE!</v>
      </c>
      <c r="AA295" s="202" t="e">
        <v>#VALUE!</v>
      </c>
      <c r="AB295" s="202" t="e">
        <v>#VALUE!</v>
      </c>
    </row>
    <row r="296" spans="12:28" x14ac:dyDescent="0.35">
      <c r="L296" s="104"/>
      <c r="O296" s="336" t="s">
        <v>144</v>
      </c>
      <c r="P296" s="202" t="e">
        <v>#VALUE!</v>
      </c>
      <c r="Q296" s="202" t="e">
        <v>#VALUE!</v>
      </c>
      <c r="R296" s="202" t="e">
        <v>#VALUE!</v>
      </c>
      <c r="T296" s="336" t="s">
        <v>144</v>
      </c>
      <c r="U296" s="202" t="e">
        <v>#VALUE!</v>
      </c>
      <c r="V296" s="202" t="e">
        <v>#VALUE!</v>
      </c>
      <c r="W296" s="202" t="e">
        <v>#VALUE!</v>
      </c>
      <c r="Y296" s="336" t="s">
        <v>144</v>
      </c>
      <c r="Z296" s="202" t="e">
        <v>#VALUE!</v>
      </c>
      <c r="AA296" s="202" t="e">
        <v>#VALUE!</v>
      </c>
      <c r="AB296" s="202" t="e">
        <v>#VALUE!</v>
      </c>
    </row>
    <row r="297" spans="12:28" x14ac:dyDescent="0.35">
      <c r="L297" s="104"/>
      <c r="O297" s="337"/>
      <c r="P297" s="202" t="e">
        <v>#VALUE!</v>
      </c>
      <c r="Q297" s="202" t="e">
        <v>#VALUE!</v>
      </c>
      <c r="R297" s="202" t="e">
        <v>#VALUE!</v>
      </c>
      <c r="T297" s="337"/>
      <c r="U297" s="202" t="e">
        <v>#VALUE!</v>
      </c>
      <c r="V297" s="202" t="e">
        <v>#VALUE!</v>
      </c>
      <c r="W297" s="202" t="e">
        <v>#VALUE!</v>
      </c>
      <c r="Y297" s="337"/>
      <c r="Z297" s="202" t="e">
        <v>#VALUE!</v>
      </c>
      <c r="AA297" s="202" t="e">
        <v>#VALUE!</v>
      </c>
      <c r="AB297" s="202" t="e">
        <v>#VALUE!</v>
      </c>
    </row>
    <row r="298" spans="12:28" x14ac:dyDescent="0.35">
      <c r="L298" s="104"/>
      <c r="O298" s="337"/>
      <c r="P298" s="202" t="e">
        <v>#VALUE!</v>
      </c>
      <c r="Q298" s="202" t="e">
        <v>#VALUE!</v>
      </c>
      <c r="R298" s="202" t="e">
        <v>#VALUE!</v>
      </c>
      <c r="T298" s="337"/>
      <c r="U298" s="202" t="e">
        <v>#VALUE!</v>
      </c>
      <c r="V298" s="202" t="e">
        <v>#VALUE!</v>
      </c>
      <c r="W298" s="202" t="e">
        <v>#VALUE!</v>
      </c>
      <c r="Y298" s="337"/>
      <c r="Z298" s="202" t="e">
        <v>#VALUE!</v>
      </c>
      <c r="AA298" s="202" t="e">
        <v>#VALUE!</v>
      </c>
      <c r="AB298" s="202" t="e">
        <v>#VALUE!</v>
      </c>
    </row>
    <row r="299" spans="12:28" x14ac:dyDescent="0.35">
      <c r="L299" s="104"/>
      <c r="O299" s="337"/>
      <c r="P299" s="202" t="e">
        <v>#VALUE!</v>
      </c>
      <c r="Q299" s="202" t="e">
        <v>#VALUE!</v>
      </c>
      <c r="R299" s="202" t="e">
        <v>#VALUE!</v>
      </c>
      <c r="T299" s="337"/>
      <c r="U299" s="202" t="e">
        <v>#VALUE!</v>
      </c>
      <c r="V299" s="202" t="e">
        <v>#VALUE!</v>
      </c>
      <c r="W299" s="202" t="e">
        <v>#VALUE!</v>
      </c>
      <c r="Y299" s="337"/>
      <c r="Z299" s="202" t="e">
        <v>#VALUE!</v>
      </c>
      <c r="AA299" s="202" t="e">
        <v>#VALUE!</v>
      </c>
      <c r="AB299" s="202" t="e">
        <v>#VALUE!</v>
      </c>
    </row>
    <row r="300" spans="12:28" x14ac:dyDescent="0.35">
      <c r="L300" s="104"/>
      <c r="O300" s="338"/>
      <c r="P300" s="202" t="e">
        <v>#VALUE!</v>
      </c>
      <c r="Q300" s="202" t="e">
        <v>#VALUE!</v>
      </c>
      <c r="R300" s="202" t="e">
        <v>#VALUE!</v>
      </c>
      <c r="T300" s="338"/>
      <c r="U300" s="202" t="e">
        <v>#VALUE!</v>
      </c>
      <c r="V300" s="202" t="e">
        <v>#VALUE!</v>
      </c>
      <c r="W300" s="202" t="e">
        <v>#VALUE!</v>
      </c>
      <c r="Y300" s="338"/>
      <c r="Z300" s="202" t="e">
        <v>#VALUE!</v>
      </c>
      <c r="AA300" s="202" t="e">
        <v>#VALUE!</v>
      </c>
      <c r="AB300" s="202" t="e">
        <v>#VALUE!</v>
      </c>
    </row>
    <row r="302" spans="12:28" ht="18.75" x14ac:dyDescent="0.35">
      <c r="L302" s="104"/>
      <c r="Q302" s="210" t="s">
        <v>141</v>
      </c>
      <c r="R302" s="204"/>
      <c r="V302" s="210" t="s">
        <v>141</v>
      </c>
      <c r="W302" s="204"/>
      <c r="AA302" s="210" t="s">
        <v>141</v>
      </c>
      <c r="AB302" s="204"/>
    </row>
    <row r="303" spans="12:28" x14ac:dyDescent="0.35">
      <c r="L303" s="104"/>
      <c r="P303" s="205" t="str">
        <f>+J273</f>
        <v>Q100</v>
      </c>
      <c r="U303" s="205" t="str">
        <f>+K273</f>
        <v>Q200</v>
      </c>
      <c r="Z303" s="205" t="str">
        <f>+L273</f>
        <v>Q500</v>
      </c>
    </row>
    <row r="304" spans="12:28" x14ac:dyDescent="0.35">
      <c r="L304" s="104"/>
      <c r="O304" s="197"/>
      <c r="P304" s="203" t="s">
        <v>138</v>
      </c>
      <c r="Q304" s="203" t="s">
        <v>139</v>
      </c>
      <c r="R304" s="203" t="s">
        <v>140</v>
      </c>
      <c r="T304" s="197"/>
      <c r="U304" s="203" t="s">
        <v>138</v>
      </c>
      <c r="V304" s="203" t="s">
        <v>139</v>
      </c>
      <c r="W304" s="203" t="s">
        <v>140</v>
      </c>
      <c r="Y304" s="197"/>
      <c r="Z304" s="203" t="s">
        <v>138</v>
      </c>
      <c r="AA304" s="203" t="s">
        <v>139</v>
      </c>
      <c r="AB304" s="203" t="s">
        <v>140</v>
      </c>
    </row>
    <row r="305" spans="12:28" x14ac:dyDescent="0.35">
      <c r="L305" s="104"/>
      <c r="O305" s="135" t="s">
        <v>143</v>
      </c>
      <c r="P305" s="206" t="e">
        <f t="array" ref="P305:R312">LINEST(J275:J278,C275:C278^{1,2},TRUE,TRUE)</f>
        <v>#VALUE!</v>
      </c>
      <c r="Q305" s="207" t="e">
        <v>#VALUE!</v>
      </c>
      <c r="R305" s="207" t="e">
        <v>#VALUE!</v>
      </c>
      <c r="T305" s="135" t="s">
        <v>143</v>
      </c>
      <c r="U305" s="206" t="e">
        <f t="array" ref="U305:W312">LINEST(K275:K278,C275:C278^{1,2},TRUE,TRUE)</f>
        <v>#VALUE!</v>
      </c>
      <c r="V305" s="207" t="e">
        <v>#VALUE!</v>
      </c>
      <c r="W305" s="207" t="e">
        <v>#VALUE!</v>
      </c>
      <c r="Y305" s="135" t="s">
        <v>143</v>
      </c>
      <c r="Z305" s="206" t="e">
        <f t="array" ref="Z305:AB312">LINEST(L275:L278,C275:C278^{1,2},TRUE,TRUE)</f>
        <v>#VALUE!</v>
      </c>
      <c r="AA305" s="207" t="e">
        <v>#VALUE!</v>
      </c>
      <c r="AB305" s="207" t="e">
        <v>#VALUE!</v>
      </c>
    </row>
    <row r="306" spans="12:28" x14ac:dyDescent="0.35">
      <c r="L306" s="104"/>
      <c r="O306" s="135" t="s">
        <v>144</v>
      </c>
      <c r="P306" s="201" t="e">
        <v>#VALUE!</v>
      </c>
      <c r="Q306" s="202" t="e">
        <v>#VALUE!</v>
      </c>
      <c r="R306" s="202" t="e">
        <v>#VALUE!</v>
      </c>
      <c r="T306" s="135" t="s">
        <v>144</v>
      </c>
      <c r="U306" s="201" t="e">
        <v>#VALUE!</v>
      </c>
      <c r="V306" s="202" t="e">
        <v>#VALUE!</v>
      </c>
      <c r="W306" s="202" t="e">
        <v>#VALUE!</v>
      </c>
      <c r="Y306" s="135" t="s">
        <v>144</v>
      </c>
      <c r="Z306" s="201" t="e">
        <v>#VALUE!</v>
      </c>
      <c r="AA306" s="202" t="e">
        <v>#VALUE!</v>
      </c>
      <c r="AB306" s="202" t="e">
        <v>#VALUE!</v>
      </c>
    </row>
    <row r="307" spans="12:28" ht="18.75" x14ac:dyDescent="0.35">
      <c r="L307" s="104"/>
      <c r="O307" s="135" t="s">
        <v>142</v>
      </c>
      <c r="P307" s="209" t="e">
        <v>#VALUE!</v>
      </c>
      <c r="Q307" s="202" t="e">
        <v>#VALUE!</v>
      </c>
      <c r="R307" s="202" t="e">
        <v>#VALUE!</v>
      </c>
      <c r="T307" s="135" t="s">
        <v>142</v>
      </c>
      <c r="U307" s="209" t="e">
        <v>#VALUE!</v>
      </c>
      <c r="V307" s="202" t="e">
        <v>#VALUE!</v>
      </c>
      <c r="W307" s="202" t="e">
        <v>#VALUE!</v>
      </c>
      <c r="Y307" s="135" t="s">
        <v>142</v>
      </c>
      <c r="Z307" s="209" t="e">
        <v>#VALUE!</v>
      </c>
      <c r="AA307" s="202" t="e">
        <v>#VALUE!</v>
      </c>
      <c r="AB307" s="202" t="e">
        <v>#VALUE!</v>
      </c>
    </row>
    <row r="308" spans="12:28" x14ac:dyDescent="0.35">
      <c r="L308" s="104"/>
      <c r="O308" s="336" t="s">
        <v>144</v>
      </c>
      <c r="P308" s="202" t="e">
        <v>#VALUE!</v>
      </c>
      <c r="Q308" s="202" t="e">
        <v>#VALUE!</v>
      </c>
      <c r="R308" s="202" t="e">
        <v>#VALUE!</v>
      </c>
      <c r="T308" s="336" t="s">
        <v>144</v>
      </c>
      <c r="U308" s="202" t="e">
        <v>#VALUE!</v>
      </c>
      <c r="V308" s="202" t="e">
        <v>#VALUE!</v>
      </c>
      <c r="W308" s="202" t="e">
        <v>#VALUE!</v>
      </c>
      <c r="Y308" s="336" t="s">
        <v>144</v>
      </c>
      <c r="Z308" s="202" t="e">
        <v>#VALUE!</v>
      </c>
      <c r="AA308" s="202" t="e">
        <v>#VALUE!</v>
      </c>
      <c r="AB308" s="202" t="e">
        <v>#VALUE!</v>
      </c>
    </row>
    <row r="309" spans="12:28" x14ac:dyDescent="0.35">
      <c r="L309" s="104"/>
      <c r="O309" s="337"/>
      <c r="P309" s="202" t="e">
        <v>#VALUE!</v>
      </c>
      <c r="Q309" s="202" t="e">
        <v>#VALUE!</v>
      </c>
      <c r="R309" s="202" t="e">
        <v>#VALUE!</v>
      </c>
      <c r="T309" s="337"/>
      <c r="U309" s="202" t="e">
        <v>#VALUE!</v>
      </c>
      <c r="V309" s="202" t="e">
        <v>#VALUE!</v>
      </c>
      <c r="W309" s="202" t="e">
        <v>#VALUE!</v>
      </c>
      <c r="Y309" s="337"/>
      <c r="Z309" s="202" t="e">
        <v>#VALUE!</v>
      </c>
      <c r="AA309" s="202" t="e">
        <v>#VALUE!</v>
      </c>
      <c r="AB309" s="202" t="e">
        <v>#VALUE!</v>
      </c>
    </row>
    <row r="310" spans="12:28" x14ac:dyDescent="0.35">
      <c r="L310" s="104"/>
      <c r="O310" s="337"/>
      <c r="P310" s="202" t="e">
        <v>#VALUE!</v>
      </c>
      <c r="Q310" s="202" t="e">
        <v>#VALUE!</v>
      </c>
      <c r="R310" s="202" t="e">
        <v>#VALUE!</v>
      </c>
      <c r="T310" s="337"/>
      <c r="U310" s="202" t="e">
        <v>#VALUE!</v>
      </c>
      <c r="V310" s="202" t="e">
        <v>#VALUE!</v>
      </c>
      <c r="W310" s="202" t="e">
        <v>#VALUE!</v>
      </c>
      <c r="Y310" s="337"/>
      <c r="Z310" s="202" t="e">
        <v>#VALUE!</v>
      </c>
      <c r="AA310" s="202" t="e">
        <v>#VALUE!</v>
      </c>
      <c r="AB310" s="202" t="e">
        <v>#VALUE!</v>
      </c>
    </row>
    <row r="311" spans="12:28" x14ac:dyDescent="0.35">
      <c r="L311" s="104"/>
      <c r="O311" s="337"/>
      <c r="P311" s="202" t="e">
        <v>#VALUE!</v>
      </c>
      <c r="Q311" s="202" t="e">
        <v>#VALUE!</v>
      </c>
      <c r="R311" s="202" t="e">
        <v>#VALUE!</v>
      </c>
      <c r="T311" s="337"/>
      <c r="U311" s="202" t="e">
        <v>#VALUE!</v>
      </c>
      <c r="V311" s="202" t="e">
        <v>#VALUE!</v>
      </c>
      <c r="W311" s="202" t="e">
        <v>#VALUE!</v>
      </c>
      <c r="Y311" s="337"/>
      <c r="Z311" s="202" t="e">
        <v>#VALUE!</v>
      </c>
      <c r="AA311" s="202" t="e">
        <v>#VALUE!</v>
      </c>
      <c r="AB311" s="202" t="e">
        <v>#VALUE!</v>
      </c>
    </row>
    <row r="312" spans="12:28" x14ac:dyDescent="0.35">
      <c r="L312" s="104"/>
      <c r="O312" s="338"/>
      <c r="P312" s="202" t="e">
        <v>#VALUE!</v>
      </c>
      <c r="Q312" s="202" t="e">
        <v>#VALUE!</v>
      </c>
      <c r="R312" s="202" t="e">
        <v>#VALUE!</v>
      </c>
      <c r="T312" s="338"/>
      <c r="U312" s="202" t="e">
        <v>#VALUE!</v>
      </c>
      <c r="V312" s="202" t="e">
        <v>#VALUE!</v>
      </c>
      <c r="W312" s="202" t="e">
        <v>#VALUE!</v>
      </c>
      <c r="Y312" s="338"/>
      <c r="Z312" s="202" t="e">
        <v>#VALUE!</v>
      </c>
      <c r="AA312" s="202" t="e">
        <v>#VALUE!</v>
      </c>
      <c r="AB312" s="202" t="e">
        <v>#VALUE!</v>
      </c>
    </row>
    <row r="314" spans="12:28" ht="18.75" x14ac:dyDescent="0.35">
      <c r="L314" s="104"/>
      <c r="Q314" s="210" t="s">
        <v>141</v>
      </c>
      <c r="R314" s="204"/>
      <c r="V314" s="210" t="s">
        <v>141</v>
      </c>
      <c r="W314" s="204"/>
      <c r="AA314" s="210" t="s">
        <v>141</v>
      </c>
      <c r="AB314" s="204"/>
    </row>
    <row r="315" spans="12:28" x14ac:dyDescent="0.35">
      <c r="L315" s="104"/>
      <c r="P315" s="205" t="str">
        <f>+M273</f>
        <v>Q1000</v>
      </c>
      <c r="U315" s="205" t="str">
        <f>+N273</f>
        <v>Q5000</v>
      </c>
      <c r="Z315" s="205" t="str">
        <f>+O273</f>
        <v>Q10000</v>
      </c>
    </row>
    <row r="316" spans="12:28" x14ac:dyDescent="0.35">
      <c r="L316" s="104"/>
      <c r="O316" s="197"/>
      <c r="P316" s="203" t="s">
        <v>138</v>
      </c>
      <c r="Q316" s="203" t="s">
        <v>139</v>
      </c>
      <c r="R316" s="203" t="s">
        <v>140</v>
      </c>
      <c r="T316" s="197"/>
      <c r="U316" s="203" t="s">
        <v>138</v>
      </c>
      <c r="V316" s="203" t="s">
        <v>139</v>
      </c>
      <c r="W316" s="203" t="s">
        <v>140</v>
      </c>
      <c r="Y316" s="197"/>
      <c r="Z316" s="203" t="s">
        <v>138</v>
      </c>
      <c r="AA316" s="203" t="s">
        <v>139</v>
      </c>
      <c r="AB316" s="203" t="s">
        <v>140</v>
      </c>
    </row>
    <row r="317" spans="12:28" x14ac:dyDescent="0.35">
      <c r="L317" s="104"/>
      <c r="O317" s="135" t="s">
        <v>143</v>
      </c>
      <c r="P317" s="206" t="e">
        <f t="array" ref="P317:R324">LINEST(M275:M278,C275:C278^{1,2},TRUE,TRUE)</f>
        <v>#VALUE!</v>
      </c>
      <c r="Q317" s="207" t="e">
        <v>#VALUE!</v>
      </c>
      <c r="R317" s="207" t="e">
        <v>#VALUE!</v>
      </c>
      <c r="T317" s="135" t="s">
        <v>143</v>
      </c>
      <c r="U317" s="206" t="e">
        <f t="array" ref="U317:W324">LINEST(N275:N278,C275:C278^{1,2},TRUE,TRUE)</f>
        <v>#VALUE!</v>
      </c>
      <c r="V317" s="207" t="e">
        <v>#VALUE!</v>
      </c>
      <c r="W317" s="207" t="e">
        <v>#VALUE!</v>
      </c>
      <c r="Y317" s="135" t="s">
        <v>143</v>
      </c>
      <c r="Z317" s="206" t="e">
        <f t="array" ref="Z317:AB324">LINEST(O275:O278,C275:C278^{1,2},TRUE,TRUE)</f>
        <v>#VALUE!</v>
      </c>
      <c r="AA317" s="207" t="e">
        <v>#VALUE!</v>
      </c>
      <c r="AB317" s="207" t="e">
        <v>#VALUE!</v>
      </c>
    </row>
    <row r="318" spans="12:28" x14ac:dyDescent="0.35">
      <c r="L318" s="104"/>
      <c r="O318" s="135" t="s">
        <v>144</v>
      </c>
      <c r="P318" s="201" t="e">
        <v>#VALUE!</v>
      </c>
      <c r="Q318" s="202" t="e">
        <v>#VALUE!</v>
      </c>
      <c r="R318" s="202" t="e">
        <v>#VALUE!</v>
      </c>
      <c r="T318" s="135" t="s">
        <v>144</v>
      </c>
      <c r="U318" s="201" t="e">
        <v>#VALUE!</v>
      </c>
      <c r="V318" s="202" t="e">
        <v>#VALUE!</v>
      </c>
      <c r="W318" s="202" t="e">
        <v>#VALUE!</v>
      </c>
      <c r="Y318" s="135" t="s">
        <v>144</v>
      </c>
      <c r="Z318" s="201" t="e">
        <v>#VALUE!</v>
      </c>
      <c r="AA318" s="202" t="e">
        <v>#VALUE!</v>
      </c>
      <c r="AB318" s="202" t="e">
        <v>#VALUE!</v>
      </c>
    </row>
    <row r="319" spans="12:28" ht="18.75" x14ac:dyDescent="0.35">
      <c r="L319" s="104"/>
      <c r="O319" s="135" t="s">
        <v>142</v>
      </c>
      <c r="P319" s="209" t="e">
        <v>#VALUE!</v>
      </c>
      <c r="Q319" s="202" t="e">
        <v>#VALUE!</v>
      </c>
      <c r="R319" s="202" t="e">
        <v>#VALUE!</v>
      </c>
      <c r="T319" s="135" t="s">
        <v>142</v>
      </c>
      <c r="U319" s="209" t="e">
        <v>#VALUE!</v>
      </c>
      <c r="V319" s="202" t="e">
        <v>#VALUE!</v>
      </c>
      <c r="W319" s="202" t="e">
        <v>#VALUE!</v>
      </c>
      <c r="Y319" s="135" t="s">
        <v>142</v>
      </c>
      <c r="Z319" s="209" t="e">
        <v>#VALUE!</v>
      </c>
      <c r="AA319" s="202" t="e">
        <v>#VALUE!</v>
      </c>
      <c r="AB319" s="202" t="e">
        <v>#VALUE!</v>
      </c>
    </row>
    <row r="320" spans="12:28" x14ac:dyDescent="0.35">
      <c r="L320" s="104"/>
      <c r="O320" s="336" t="s">
        <v>144</v>
      </c>
      <c r="P320" s="202" t="e">
        <v>#VALUE!</v>
      </c>
      <c r="Q320" s="202" t="e">
        <v>#VALUE!</v>
      </c>
      <c r="R320" s="202" t="e">
        <v>#VALUE!</v>
      </c>
      <c r="T320" s="336" t="s">
        <v>144</v>
      </c>
      <c r="U320" s="202" t="e">
        <v>#VALUE!</v>
      </c>
      <c r="V320" s="202" t="e">
        <v>#VALUE!</v>
      </c>
      <c r="W320" s="202" t="e">
        <v>#VALUE!</v>
      </c>
      <c r="Y320" s="336" t="s">
        <v>144</v>
      </c>
      <c r="Z320" s="202" t="e">
        <v>#VALUE!</v>
      </c>
      <c r="AA320" s="202" t="e">
        <v>#VALUE!</v>
      </c>
      <c r="AB320" s="202" t="e">
        <v>#VALUE!</v>
      </c>
    </row>
    <row r="321" spans="12:28" x14ac:dyDescent="0.35">
      <c r="L321" s="104"/>
      <c r="O321" s="337"/>
      <c r="P321" s="202" t="e">
        <v>#VALUE!</v>
      </c>
      <c r="Q321" s="202" t="e">
        <v>#VALUE!</v>
      </c>
      <c r="R321" s="202" t="e">
        <v>#VALUE!</v>
      </c>
      <c r="T321" s="337"/>
      <c r="U321" s="202" t="e">
        <v>#VALUE!</v>
      </c>
      <c r="V321" s="202" t="e">
        <v>#VALUE!</v>
      </c>
      <c r="W321" s="202" t="e">
        <v>#VALUE!</v>
      </c>
      <c r="Y321" s="337"/>
      <c r="Z321" s="202" t="e">
        <v>#VALUE!</v>
      </c>
      <c r="AA321" s="202" t="e">
        <v>#VALUE!</v>
      </c>
      <c r="AB321" s="202" t="e">
        <v>#VALUE!</v>
      </c>
    </row>
    <row r="322" spans="12:28" x14ac:dyDescent="0.35">
      <c r="L322" s="104"/>
      <c r="O322" s="337"/>
      <c r="P322" s="202" t="e">
        <v>#VALUE!</v>
      </c>
      <c r="Q322" s="202" t="e">
        <v>#VALUE!</v>
      </c>
      <c r="R322" s="202" t="e">
        <v>#VALUE!</v>
      </c>
      <c r="T322" s="337"/>
      <c r="U322" s="202" t="e">
        <v>#VALUE!</v>
      </c>
      <c r="V322" s="202" t="e">
        <v>#VALUE!</v>
      </c>
      <c r="W322" s="202" t="e">
        <v>#VALUE!</v>
      </c>
      <c r="Y322" s="337"/>
      <c r="Z322" s="202" t="e">
        <v>#VALUE!</v>
      </c>
      <c r="AA322" s="202" t="e">
        <v>#VALUE!</v>
      </c>
      <c r="AB322" s="202" t="e">
        <v>#VALUE!</v>
      </c>
    </row>
    <row r="323" spans="12:28" x14ac:dyDescent="0.35">
      <c r="L323" s="104"/>
      <c r="O323" s="337"/>
      <c r="P323" s="202" t="e">
        <v>#VALUE!</v>
      </c>
      <c r="Q323" s="202" t="e">
        <v>#VALUE!</v>
      </c>
      <c r="R323" s="202" t="e">
        <v>#VALUE!</v>
      </c>
      <c r="T323" s="337"/>
      <c r="U323" s="202" t="e">
        <v>#VALUE!</v>
      </c>
      <c r="V323" s="202" t="e">
        <v>#VALUE!</v>
      </c>
      <c r="W323" s="202" t="e">
        <v>#VALUE!</v>
      </c>
      <c r="Y323" s="337"/>
      <c r="Z323" s="202" t="e">
        <v>#VALUE!</v>
      </c>
      <c r="AA323" s="202" t="e">
        <v>#VALUE!</v>
      </c>
      <c r="AB323" s="202" t="e">
        <v>#VALUE!</v>
      </c>
    </row>
    <row r="324" spans="12:28" x14ac:dyDescent="0.35">
      <c r="L324" s="104"/>
      <c r="O324" s="338"/>
      <c r="P324" s="202" t="e">
        <v>#VALUE!</v>
      </c>
      <c r="Q324" s="202" t="e">
        <v>#VALUE!</v>
      </c>
      <c r="R324" s="202" t="e">
        <v>#VALUE!</v>
      </c>
      <c r="T324" s="338"/>
      <c r="U324" s="202" t="e">
        <v>#VALUE!</v>
      </c>
      <c r="V324" s="202" t="e">
        <v>#VALUE!</v>
      </c>
      <c r="W324" s="202" t="e">
        <v>#VALUE!</v>
      </c>
      <c r="Y324" s="338"/>
      <c r="Z324" s="202" t="e">
        <v>#VALUE!</v>
      </c>
      <c r="AA324" s="202" t="e">
        <v>#VALUE!</v>
      </c>
      <c r="AB324" s="202" t="e">
        <v>#VALUE!</v>
      </c>
    </row>
    <row r="352" spans="12:12" x14ac:dyDescent="0.35">
      <c r="L352" s="111" t="s">
        <v>229</v>
      </c>
    </row>
  </sheetData>
  <mergeCells count="47">
    <mergeCell ref="P264:P265"/>
    <mergeCell ref="T320:T324"/>
    <mergeCell ref="Y320:Y324"/>
    <mergeCell ref="B150:N150"/>
    <mergeCell ref="B128:N128"/>
    <mergeCell ref="F264:F265"/>
    <mergeCell ref="G264:G265"/>
    <mergeCell ref="H264:H265"/>
    <mergeCell ref="I264:I265"/>
    <mergeCell ref="B196:N196"/>
    <mergeCell ref="B173:N173"/>
    <mergeCell ref="O284:O288"/>
    <mergeCell ref="O296:O300"/>
    <mergeCell ref="O308:O312"/>
    <mergeCell ref="O320:O324"/>
    <mergeCell ref="Y308:Y312"/>
    <mergeCell ref="D272:O272"/>
    <mergeCell ref="O264:O265"/>
    <mergeCell ref="N264:N265"/>
    <mergeCell ref="A173:A174"/>
    <mergeCell ref="A196:A197"/>
    <mergeCell ref="B264:D264"/>
    <mergeCell ref="E264:E265"/>
    <mergeCell ref="A223:A224"/>
    <mergeCell ref="B223:N223"/>
    <mergeCell ref="A1:M1"/>
    <mergeCell ref="A2:M2"/>
    <mergeCell ref="A11:A12"/>
    <mergeCell ref="B11:L11"/>
    <mergeCell ref="A57:A58"/>
    <mergeCell ref="B57:N57"/>
    <mergeCell ref="T308:T312"/>
    <mergeCell ref="A82:A83"/>
    <mergeCell ref="A105:A106"/>
    <mergeCell ref="A128:A129"/>
    <mergeCell ref="Y284:Y288"/>
    <mergeCell ref="Y296:Y300"/>
    <mergeCell ref="T284:T288"/>
    <mergeCell ref="T296:T300"/>
    <mergeCell ref="B105:N105"/>
    <mergeCell ref="B82:N82"/>
    <mergeCell ref="B273:C273"/>
    <mergeCell ref="A273:A274"/>
    <mergeCell ref="J264:J265"/>
    <mergeCell ref="K264:K265"/>
    <mergeCell ref="L264:L265"/>
    <mergeCell ref="M264:M265"/>
  </mergeCells>
  <pageMargins left="0.7" right="0.7" top="0.75" bottom="0.75" header="0.3" footer="0.3"/>
  <pageSetup paperSize="9" scale="42" orientation="portrait" r:id="rId1"/>
  <colBreaks count="2" manualBreakCount="2">
    <brk id="12" max="49" man="1"/>
    <brk id="30" max="4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H13"/>
  <sheetViews>
    <sheetView topLeftCell="B1" zoomScale="130" zoomScaleNormal="130" workbookViewId="0">
      <selection activeCell="B7" sqref="B7"/>
    </sheetView>
  </sheetViews>
  <sheetFormatPr defaultRowHeight="17.25" x14ac:dyDescent="0.35"/>
  <cols>
    <col min="1" max="1" width="9.140625" style="104"/>
    <col min="2" max="2" width="18" style="104" customWidth="1"/>
    <col min="3" max="3" width="8.28515625" style="104" customWidth="1"/>
    <col min="4" max="4" width="12.5703125" style="104" customWidth="1"/>
    <col min="5" max="5" width="15.85546875" style="104" customWidth="1"/>
    <col min="6" max="6" width="19" style="104" customWidth="1"/>
    <col min="7" max="7" width="14.85546875" style="104" customWidth="1"/>
    <col min="8" max="8" width="13.28515625" style="104" customWidth="1"/>
    <col min="9" max="16384" width="9.140625" style="104"/>
  </cols>
  <sheetData>
    <row r="1" spans="1:8" ht="59.25" customHeight="1" x14ac:dyDescent="0.35">
      <c r="A1" s="128" t="s">
        <v>91</v>
      </c>
      <c r="B1" s="130" t="s">
        <v>219</v>
      </c>
      <c r="C1" s="211" t="s">
        <v>92</v>
      </c>
      <c r="D1" s="211" t="s">
        <v>218</v>
      </c>
      <c r="E1" s="211" t="s">
        <v>95</v>
      </c>
      <c r="F1" s="211" t="s">
        <v>96</v>
      </c>
      <c r="G1" s="211" t="s">
        <v>93</v>
      </c>
      <c r="H1" s="211" t="s">
        <v>97</v>
      </c>
    </row>
    <row r="2" spans="1:8" x14ac:dyDescent="0.35">
      <c r="A2" s="131">
        <v>1</v>
      </c>
      <c r="B2" s="132" t="s">
        <v>253</v>
      </c>
      <c r="C2" s="133" t="s">
        <v>73</v>
      </c>
      <c r="D2" s="182">
        <v>160.79</v>
      </c>
      <c r="E2" s="187">
        <f>1-F2-G2</f>
        <v>0.10019279805958081</v>
      </c>
      <c r="F2" s="188">
        <f>99.17/D2</f>
        <v>0.6167672118912868</v>
      </c>
      <c r="G2" s="188">
        <f>45.51/D2</f>
        <v>0.28303999004913238</v>
      </c>
      <c r="H2" s="134">
        <v>115.28</v>
      </c>
    </row>
    <row r="3" spans="1:8" x14ac:dyDescent="0.35">
      <c r="A3" s="131">
        <v>2</v>
      </c>
      <c r="B3" s="132" t="s">
        <v>255</v>
      </c>
      <c r="C3" s="133" t="s">
        <v>73</v>
      </c>
      <c r="D3" s="182">
        <v>27542.558891000001</v>
      </c>
      <c r="E3" s="187">
        <f>701.04/D3</f>
        <v>2.5452972716673638E-2</v>
      </c>
      <c r="F3" s="188">
        <f>16099.27/D3</f>
        <v>0.58452339391241936</v>
      </c>
      <c r="G3" s="188">
        <f>10742.45/D3</f>
        <v>0.39003093512528636</v>
      </c>
      <c r="H3" s="134">
        <f>701.04+16099.27</f>
        <v>16800.310000000001</v>
      </c>
    </row>
    <row r="4" spans="1:8" x14ac:dyDescent="0.35">
      <c r="A4" s="131">
        <v>3</v>
      </c>
      <c r="B4" s="132" t="s">
        <v>268</v>
      </c>
      <c r="C4" s="133" t="s">
        <v>73</v>
      </c>
      <c r="D4" s="182">
        <v>217.89184</v>
      </c>
      <c r="E4" s="187">
        <f>70.31/D4</f>
        <v>0.3226830339309632</v>
      </c>
      <c r="F4" s="188">
        <f>139.41/D4</f>
        <v>0.63981285393707266</v>
      </c>
      <c r="G4" s="188">
        <f>8.17/D4</f>
        <v>3.7495667575252016E-2</v>
      </c>
      <c r="H4" s="134">
        <f>70.32+139.41</f>
        <v>209.73</v>
      </c>
    </row>
    <row r="5" spans="1:8" x14ac:dyDescent="0.35">
      <c r="A5" s="131">
        <v>4</v>
      </c>
      <c r="B5" s="135" t="s">
        <v>254</v>
      </c>
      <c r="C5" s="133">
        <v>600.1</v>
      </c>
      <c r="D5" s="134">
        <v>27090.762891999999</v>
      </c>
      <c r="E5" s="176">
        <f>438.45/D5</f>
        <v>1.6184483314402191E-2</v>
      </c>
      <c r="F5" s="176">
        <f>15957.75/D5</f>
        <v>0.58904764194412484</v>
      </c>
      <c r="G5" s="176">
        <f>10694.56/D5</f>
        <v>0.39476776798921903</v>
      </c>
      <c r="H5" s="134">
        <v>16396.2</v>
      </c>
    </row>
    <row r="6" spans="1:8" x14ac:dyDescent="0.35">
      <c r="A6" s="131">
        <v>5</v>
      </c>
      <c r="B6" s="132" t="s">
        <v>240</v>
      </c>
      <c r="C6" s="133">
        <v>602</v>
      </c>
      <c r="D6" s="135">
        <v>391.36</v>
      </c>
      <c r="E6" s="187">
        <f>361.15/D6</f>
        <v>0.92280764513491409</v>
      </c>
      <c r="F6" s="188">
        <f>30.2/D6</f>
        <v>7.7166802943581358E-2</v>
      </c>
      <c r="G6" s="188">
        <v>0</v>
      </c>
      <c r="H6" s="135">
        <v>391.36</v>
      </c>
    </row>
    <row r="7" spans="1:8" x14ac:dyDescent="0.35">
      <c r="A7" s="131">
        <v>6</v>
      </c>
      <c r="B7" s="135" t="s">
        <v>250</v>
      </c>
      <c r="C7" s="133">
        <v>602.5</v>
      </c>
      <c r="D7" s="134">
        <v>148.13999999999999</v>
      </c>
      <c r="E7" s="175">
        <f>142.26/D7</f>
        <v>0.96030781692993117</v>
      </c>
      <c r="F7" s="175">
        <f>5.88/D7</f>
        <v>3.9692183070068859E-2</v>
      </c>
      <c r="G7" s="175">
        <v>0</v>
      </c>
      <c r="H7" s="134">
        <v>148.13999999999999</v>
      </c>
    </row>
    <row r="8" spans="1:8" x14ac:dyDescent="0.35">
      <c r="A8" s="131">
        <v>7</v>
      </c>
      <c r="B8" s="135" t="s">
        <v>248</v>
      </c>
      <c r="C8" s="133">
        <v>604.5</v>
      </c>
      <c r="D8" s="134">
        <v>28601.893849</v>
      </c>
      <c r="E8" s="176">
        <f>1467.3/D8</f>
        <v>5.1300798742433651E-2</v>
      </c>
      <c r="F8" s="176">
        <f>16382.4/D8</f>
        <v>0.57277326062703271</v>
      </c>
      <c r="G8" s="175">
        <f>10752.2/D8</f>
        <v>0.37592615568622312</v>
      </c>
      <c r="H8" s="134">
        <v>17849.7</v>
      </c>
    </row>
    <row r="9" spans="1:8" x14ac:dyDescent="0.35">
      <c r="A9" s="131">
        <v>8</v>
      </c>
      <c r="B9" s="135" t="s">
        <v>320</v>
      </c>
      <c r="C9" s="133">
        <v>627.5</v>
      </c>
      <c r="D9" s="134">
        <v>109.83</v>
      </c>
      <c r="E9" s="176">
        <v>6.9000000000000006E-2</v>
      </c>
      <c r="F9" s="176">
        <v>0.79300000000000004</v>
      </c>
      <c r="G9" s="176">
        <v>0.13800000000000001</v>
      </c>
      <c r="H9" s="134">
        <v>94.69</v>
      </c>
    </row>
    <row r="10" spans="1:8" x14ac:dyDescent="0.35">
      <c r="A10" s="150"/>
      <c r="B10" s="143"/>
      <c r="C10" s="289"/>
      <c r="D10" s="143"/>
      <c r="E10" s="290"/>
      <c r="F10" s="291"/>
      <c r="G10" s="291"/>
      <c r="H10" s="143"/>
    </row>
    <row r="11" spans="1:8" x14ac:dyDescent="0.35">
      <c r="A11" s="271"/>
    </row>
    <row r="13" spans="1:8" x14ac:dyDescent="0.35">
      <c r="A13" s="272"/>
      <c r="B13" s="2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6" tint="-0.499984740745262"/>
  </sheetPr>
  <dimension ref="A1:P119"/>
  <sheetViews>
    <sheetView view="pageBreakPreview" zoomScale="115" zoomScaleNormal="100" zoomScaleSheetLayoutView="115" workbookViewId="0">
      <selection activeCell="F71" sqref="F71"/>
    </sheetView>
  </sheetViews>
  <sheetFormatPr defaultRowHeight="13.5" x14ac:dyDescent="0.3"/>
  <cols>
    <col min="1" max="1" width="23.85546875" style="29" bestFit="1" customWidth="1"/>
    <col min="2" max="2" width="12.28515625" style="29" customWidth="1"/>
    <col min="3" max="3" width="10.7109375" style="29" customWidth="1"/>
    <col min="4" max="4" width="13" style="29" customWidth="1"/>
    <col min="5" max="5" width="6.5703125" style="29" bestFit="1" customWidth="1"/>
    <col min="6" max="6" width="13.5703125" style="29" customWidth="1"/>
    <col min="7" max="7" width="8.42578125" style="29" customWidth="1"/>
    <col min="8" max="8" width="7.140625" style="29" customWidth="1"/>
    <col min="9" max="9" width="12" style="29" customWidth="1"/>
    <col min="10" max="10" width="9" style="29" customWidth="1"/>
    <col min="11" max="11" width="12.8554687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232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239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44547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240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242</v>
      </c>
      <c r="B7" s="26"/>
      <c r="C7" s="67">
        <v>602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4" t="s">
        <v>241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61" t="s">
        <v>14</v>
      </c>
      <c r="B9" s="361"/>
      <c r="C9" s="361"/>
    </row>
    <row r="10" spans="1:16" ht="15" x14ac:dyDescent="0.3">
      <c r="A10" s="34" t="s">
        <v>15</v>
      </c>
      <c r="B10" s="359" t="s">
        <v>16</v>
      </c>
      <c r="C10" s="360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81">
        <f>'Extreme data'!C21</f>
        <v>210</v>
      </c>
      <c r="C12" s="82">
        <f>IF(B12="","",LOG(B12))</f>
        <v>2.3222192947339191</v>
      </c>
      <c r="F12" s="52"/>
      <c r="G12" s="68"/>
    </row>
    <row r="13" spans="1:16" ht="15" x14ac:dyDescent="0.3">
      <c r="A13" s="80">
        <v>1975</v>
      </c>
      <c r="B13" s="81">
        <f>'Extreme data'!C22</f>
        <v>360</v>
      </c>
      <c r="C13" s="82">
        <f t="shared" ref="C13:C53" si="0">IF(B13="","",LOG(B13))</f>
        <v>2.5563025007672873</v>
      </c>
      <c r="F13" s="52"/>
      <c r="G13" s="68"/>
      <c r="L13" s="30"/>
    </row>
    <row r="14" spans="1:16" ht="15" x14ac:dyDescent="0.3">
      <c r="A14" s="80">
        <v>1976</v>
      </c>
      <c r="B14" s="81">
        <f>'Extreme data'!C23</f>
        <v>222</v>
      </c>
      <c r="C14" s="82">
        <f t="shared" si="0"/>
        <v>2.3463529744506388</v>
      </c>
      <c r="F14" s="52"/>
      <c r="G14" s="68"/>
      <c r="L14" s="30"/>
    </row>
    <row r="15" spans="1:16" ht="15" x14ac:dyDescent="0.3">
      <c r="A15" s="80">
        <v>1977</v>
      </c>
      <c r="B15" s="81">
        <f>'Extreme data'!C24</f>
        <v>154</v>
      </c>
      <c r="C15" s="82">
        <f t="shared" si="0"/>
        <v>2.1875207208364631</v>
      </c>
      <c r="F15" s="52"/>
      <c r="G15" s="68"/>
      <c r="L15" s="30"/>
    </row>
    <row r="16" spans="1:16" ht="15" x14ac:dyDescent="0.3">
      <c r="A16" s="80">
        <v>1978</v>
      </c>
      <c r="B16" s="305">
        <f>'Extreme data'!C25</f>
        <v>0</v>
      </c>
      <c r="C16" s="82" t="e">
        <f t="shared" si="0"/>
        <v>#NUM!</v>
      </c>
      <c r="F16" s="52"/>
      <c r="G16" s="68"/>
    </row>
    <row r="17" spans="1:7" ht="15" x14ac:dyDescent="0.3">
      <c r="A17" s="80">
        <v>1979</v>
      </c>
      <c r="B17" s="81">
        <f>'Extreme data'!C26</f>
        <v>532</v>
      </c>
      <c r="C17" s="82">
        <f t="shared" si="0"/>
        <v>2.7259116322950483</v>
      </c>
      <c r="F17" s="52"/>
      <c r="G17" s="68"/>
    </row>
    <row r="18" spans="1:7" ht="15" x14ac:dyDescent="0.3">
      <c r="A18" s="80">
        <v>1980</v>
      </c>
      <c r="B18" s="305">
        <f>'Extreme data'!C27</f>
        <v>0</v>
      </c>
      <c r="C18" s="82" t="e">
        <f t="shared" si="0"/>
        <v>#NUM!</v>
      </c>
      <c r="F18" s="52"/>
      <c r="G18" s="68"/>
    </row>
    <row r="19" spans="1:7" ht="15" x14ac:dyDescent="0.3">
      <c r="A19" s="80">
        <v>1981</v>
      </c>
      <c r="B19" s="81">
        <f>'Extreme data'!C28</f>
        <v>215</v>
      </c>
      <c r="C19" s="82">
        <f t="shared" si="0"/>
        <v>2.3324384599156054</v>
      </c>
      <c r="F19" s="52"/>
      <c r="G19" s="68"/>
    </row>
    <row r="20" spans="1:7" ht="15" x14ac:dyDescent="0.3">
      <c r="A20" s="80">
        <v>1982</v>
      </c>
      <c r="B20" s="81">
        <f>'Extreme data'!C29</f>
        <v>489</v>
      </c>
      <c r="C20" s="82">
        <f t="shared" si="0"/>
        <v>2.6893088591236203</v>
      </c>
      <c r="F20" s="52"/>
      <c r="G20" s="68"/>
    </row>
    <row r="21" spans="1:7" ht="15" x14ac:dyDescent="0.3">
      <c r="A21" s="80">
        <v>1983</v>
      </c>
      <c r="B21" s="81">
        <f>'Extreme data'!C30</f>
        <v>694</v>
      </c>
      <c r="C21" s="82">
        <f t="shared" si="0"/>
        <v>2.8413594704548548</v>
      </c>
      <c r="F21" s="52"/>
      <c r="G21" s="68"/>
    </row>
    <row r="22" spans="1:7" ht="15" x14ac:dyDescent="0.3">
      <c r="A22" s="80">
        <v>1984</v>
      </c>
      <c r="B22" s="81">
        <f>'Extreme data'!C31</f>
        <v>131</v>
      </c>
      <c r="C22" s="82">
        <f t="shared" si="0"/>
        <v>2.1172712956557644</v>
      </c>
      <c r="F22" s="52"/>
      <c r="G22" s="68"/>
    </row>
    <row r="23" spans="1:7" ht="15" x14ac:dyDescent="0.3">
      <c r="A23" s="80">
        <v>1985</v>
      </c>
      <c r="B23" s="81">
        <f>'Extreme data'!C32</f>
        <v>222</v>
      </c>
      <c r="C23" s="82">
        <f t="shared" si="0"/>
        <v>2.3463529744506388</v>
      </c>
      <c r="F23" s="52"/>
      <c r="G23" s="68"/>
    </row>
    <row r="24" spans="1:7" ht="15" x14ac:dyDescent="0.3">
      <c r="A24" s="80">
        <v>1986</v>
      </c>
      <c r="B24" s="81">
        <f>'Extreme data'!C33</f>
        <v>108</v>
      </c>
      <c r="C24" s="82">
        <f t="shared" si="0"/>
        <v>2.0334237554869499</v>
      </c>
      <c r="F24" s="52"/>
      <c r="G24" s="68"/>
    </row>
    <row r="25" spans="1:7" ht="15" x14ac:dyDescent="0.3">
      <c r="A25" s="80">
        <v>1987</v>
      </c>
      <c r="B25" s="81">
        <f>'Extreme data'!C34</f>
        <v>459</v>
      </c>
      <c r="C25" s="82">
        <f t="shared" si="0"/>
        <v>2.661812685537261</v>
      </c>
      <c r="F25" s="52"/>
      <c r="G25" s="68"/>
    </row>
    <row r="26" spans="1:7" ht="15" x14ac:dyDescent="0.3">
      <c r="A26" s="80">
        <v>1988</v>
      </c>
      <c r="B26" s="81">
        <f>'Extreme data'!C35</f>
        <v>213</v>
      </c>
      <c r="C26" s="82">
        <f t="shared" si="0"/>
        <v>2.3283796034387376</v>
      </c>
      <c r="F26" s="52"/>
      <c r="G26" s="68"/>
    </row>
    <row r="27" spans="1:7" ht="15" x14ac:dyDescent="0.3">
      <c r="A27" s="80">
        <v>1989</v>
      </c>
      <c r="B27" s="81">
        <f>'Extreme data'!C36</f>
        <v>314</v>
      </c>
      <c r="C27" s="82">
        <f t="shared" si="0"/>
        <v>2.4969296480732148</v>
      </c>
      <c r="F27" s="52"/>
      <c r="G27" s="68"/>
    </row>
    <row r="28" spans="1:7" ht="15" x14ac:dyDescent="0.3">
      <c r="A28" s="80">
        <v>1990</v>
      </c>
      <c r="B28" s="305">
        <f>'Extreme data'!C37</f>
        <v>0</v>
      </c>
      <c r="C28" s="82" t="e">
        <f t="shared" si="0"/>
        <v>#NUM!</v>
      </c>
      <c r="F28" s="52"/>
      <c r="G28" s="68"/>
    </row>
    <row r="29" spans="1:7" ht="15" x14ac:dyDescent="0.3">
      <c r="A29" s="80">
        <v>1991</v>
      </c>
      <c r="B29" s="81">
        <f>'Extreme data'!C38</f>
        <v>215</v>
      </c>
      <c r="C29" s="82">
        <f t="shared" si="0"/>
        <v>2.3324384599156054</v>
      </c>
      <c r="F29" s="52"/>
      <c r="G29" s="68"/>
    </row>
    <row r="30" spans="1:7" ht="15" x14ac:dyDescent="0.3">
      <c r="A30" s="80">
        <v>1992</v>
      </c>
      <c r="B30" s="81">
        <f>'Extreme data'!C39</f>
        <v>210</v>
      </c>
      <c r="C30" s="82">
        <f t="shared" si="0"/>
        <v>2.3222192947339191</v>
      </c>
      <c r="F30" s="52"/>
      <c r="G30" s="68"/>
    </row>
    <row r="31" spans="1:7" ht="15" x14ac:dyDescent="0.3">
      <c r="A31" s="80">
        <v>1993</v>
      </c>
      <c r="B31" s="81">
        <f>'Extreme data'!C40</f>
        <v>147</v>
      </c>
      <c r="C31" s="82">
        <f t="shared" si="0"/>
        <v>2.167317334748176</v>
      </c>
      <c r="F31" s="52"/>
      <c r="G31" s="68"/>
    </row>
    <row r="32" spans="1:7" ht="15" x14ac:dyDescent="0.3">
      <c r="A32" s="80">
        <v>1994</v>
      </c>
      <c r="B32" s="81">
        <f>'Extreme data'!C41</f>
        <v>274</v>
      </c>
      <c r="C32" s="82">
        <f t="shared" si="0"/>
        <v>2.4377505628203879</v>
      </c>
      <c r="F32" s="52"/>
      <c r="G32" s="68"/>
    </row>
    <row r="33" spans="1:7" ht="15" x14ac:dyDescent="0.3">
      <c r="A33" s="80">
        <v>1995</v>
      </c>
      <c r="B33" s="81">
        <f>'Extreme data'!C42</f>
        <v>129</v>
      </c>
      <c r="C33" s="82">
        <f t="shared" si="0"/>
        <v>2.1105897102992488</v>
      </c>
      <c r="F33" s="52"/>
      <c r="G33" s="68"/>
    </row>
    <row r="34" spans="1:7" ht="15" x14ac:dyDescent="0.3">
      <c r="A34" s="80">
        <v>1996</v>
      </c>
      <c r="B34" s="81">
        <f>'Extreme data'!C43</f>
        <v>340</v>
      </c>
      <c r="C34" s="82">
        <f t="shared" si="0"/>
        <v>2.5314789170422549</v>
      </c>
      <c r="F34" s="52"/>
      <c r="G34" s="68"/>
    </row>
    <row r="35" spans="1:7" ht="15" x14ac:dyDescent="0.3">
      <c r="A35" s="80">
        <v>1997</v>
      </c>
      <c r="B35" s="81">
        <f>'Extreme data'!C44</f>
        <v>108</v>
      </c>
      <c r="C35" s="82">
        <f>IF(B35="","",LOG(B35))</f>
        <v>2.0334237554869499</v>
      </c>
      <c r="F35" s="52"/>
      <c r="G35" s="68"/>
    </row>
    <row r="36" spans="1:7" ht="15" x14ac:dyDescent="0.3">
      <c r="A36" s="80">
        <v>1998</v>
      </c>
      <c r="B36" s="81">
        <f>'Extreme data'!C45</f>
        <v>98</v>
      </c>
      <c r="C36" s="82">
        <f t="shared" si="0"/>
        <v>1.9912260756924949</v>
      </c>
      <c r="F36" s="52"/>
      <c r="G36" s="68"/>
    </row>
    <row r="37" spans="1:7" ht="15" x14ac:dyDescent="0.3">
      <c r="A37" s="80">
        <v>1999</v>
      </c>
      <c r="B37" s="81">
        <f>'Extreme data'!C46</f>
        <v>139</v>
      </c>
      <c r="C37" s="82">
        <f t="shared" si="0"/>
        <v>2.143014800254095</v>
      </c>
      <c r="F37" s="52"/>
      <c r="G37" s="68"/>
    </row>
    <row r="38" spans="1:7" ht="15" x14ac:dyDescent="0.3">
      <c r="A38" s="80">
        <v>2000</v>
      </c>
      <c r="B38" s="81">
        <f>'Extreme data'!C47</f>
        <v>155</v>
      </c>
      <c r="C38" s="82">
        <f t="shared" si="0"/>
        <v>2.1903316981702914</v>
      </c>
      <c r="F38" s="52"/>
      <c r="G38" s="68"/>
    </row>
    <row r="39" spans="1:7" ht="15" x14ac:dyDescent="0.3">
      <c r="A39" s="80">
        <v>2001</v>
      </c>
      <c r="B39" s="81">
        <f>'Extreme data'!C48</f>
        <v>124</v>
      </c>
      <c r="C39" s="82">
        <f t="shared" si="0"/>
        <v>2.0934216851622351</v>
      </c>
      <c r="F39" s="52"/>
      <c r="G39" s="68"/>
    </row>
    <row r="40" spans="1:7" ht="15" x14ac:dyDescent="0.3">
      <c r="A40" s="80">
        <v>2002</v>
      </c>
      <c r="B40" s="81">
        <f>'Extreme data'!C49</f>
        <v>110</v>
      </c>
      <c r="C40" s="82">
        <f t="shared" si="0"/>
        <v>2.0413926851582249</v>
      </c>
      <c r="F40" s="52"/>
      <c r="G40" s="68"/>
    </row>
    <row r="41" spans="1:7" ht="15" x14ac:dyDescent="0.3">
      <c r="A41" s="80">
        <v>2003</v>
      </c>
      <c r="B41" s="81">
        <f>'Extreme data'!C50</f>
        <v>417</v>
      </c>
      <c r="C41" s="82">
        <f t="shared" si="0"/>
        <v>2.6201360549737576</v>
      </c>
      <c r="F41" s="52"/>
      <c r="G41" s="68"/>
    </row>
    <row r="42" spans="1:7" ht="15" x14ac:dyDescent="0.3">
      <c r="A42" s="80">
        <v>2004</v>
      </c>
      <c r="B42" s="81">
        <f>'Extreme data'!C51</f>
        <v>112</v>
      </c>
      <c r="C42" s="82">
        <f t="shared" si="0"/>
        <v>2.0492180226701815</v>
      </c>
      <c r="F42" s="52"/>
      <c r="G42" s="68"/>
    </row>
    <row r="43" spans="1:7" ht="15" x14ac:dyDescent="0.3">
      <c r="A43" s="80">
        <v>2005</v>
      </c>
      <c r="B43" s="81">
        <f>'Extreme data'!C52</f>
        <v>98</v>
      </c>
      <c r="C43" s="82">
        <f t="shared" si="0"/>
        <v>1.9912260756924949</v>
      </c>
      <c r="F43" s="52"/>
      <c r="G43" s="68"/>
    </row>
    <row r="44" spans="1:7" ht="15" x14ac:dyDescent="0.3">
      <c r="A44" s="80">
        <v>2006</v>
      </c>
      <c r="B44" s="81">
        <f>'Extreme data'!C53</f>
        <v>124</v>
      </c>
      <c r="C44" s="82">
        <f t="shared" si="0"/>
        <v>2.0934216851622351</v>
      </c>
      <c r="F44" s="52"/>
      <c r="G44" s="68"/>
    </row>
    <row r="45" spans="1:7" ht="15" x14ac:dyDescent="0.3">
      <c r="A45" s="80">
        <v>2007</v>
      </c>
      <c r="B45" s="81">
        <f>'Extreme data'!C54</f>
        <v>111</v>
      </c>
      <c r="C45" s="82">
        <f t="shared" si="0"/>
        <v>2.0453229787866576</v>
      </c>
      <c r="F45" s="52"/>
      <c r="G45" s="68"/>
    </row>
    <row r="46" spans="1:7" ht="15" x14ac:dyDescent="0.3">
      <c r="A46" s="80">
        <v>2008</v>
      </c>
      <c r="B46" s="81">
        <f>'Extreme data'!C55</f>
        <v>133</v>
      </c>
      <c r="C46" s="82">
        <f t="shared" si="0"/>
        <v>2.1238516409670858</v>
      </c>
      <c r="F46" s="52"/>
      <c r="G46" s="68"/>
    </row>
    <row r="47" spans="1:7" ht="15" x14ac:dyDescent="0.3">
      <c r="A47" s="80">
        <v>2009</v>
      </c>
      <c r="B47" s="81">
        <f>'Extreme data'!C56</f>
        <v>243</v>
      </c>
      <c r="C47" s="82">
        <f t="shared" si="0"/>
        <v>2.3856062735983121</v>
      </c>
      <c r="F47" s="52"/>
      <c r="G47" s="68"/>
    </row>
    <row r="48" spans="1:7" ht="15" x14ac:dyDescent="0.3">
      <c r="A48" s="80">
        <v>2010</v>
      </c>
      <c r="B48" s="81">
        <f>'Extreme data'!C57</f>
        <v>312</v>
      </c>
      <c r="C48" s="82">
        <f t="shared" si="0"/>
        <v>2.4941545940184429</v>
      </c>
      <c r="F48" s="52"/>
      <c r="G48" s="68"/>
    </row>
    <row r="49" spans="1:14" ht="15" x14ac:dyDescent="0.3">
      <c r="A49" s="80">
        <v>2011</v>
      </c>
      <c r="B49" s="81">
        <f>'Extreme data'!C58</f>
        <v>250</v>
      </c>
      <c r="C49" s="82">
        <f t="shared" si="0"/>
        <v>2.3979400086720375</v>
      </c>
      <c r="F49" s="52"/>
      <c r="G49" s="68"/>
    </row>
    <row r="50" spans="1:14" ht="15" x14ac:dyDescent="0.3">
      <c r="A50" s="80">
        <v>2012</v>
      </c>
      <c r="B50" s="81">
        <f>'Extreme data'!C59</f>
        <v>272</v>
      </c>
      <c r="C50" s="82">
        <f t="shared" si="0"/>
        <v>2.4345689040341987</v>
      </c>
      <c r="F50" s="52"/>
      <c r="G50" s="68"/>
    </row>
    <row r="51" spans="1:14" ht="15" x14ac:dyDescent="0.3">
      <c r="A51" s="80">
        <v>2013</v>
      </c>
      <c r="B51" s="81">
        <f>'Extreme data'!C60</f>
        <v>164</v>
      </c>
      <c r="C51" s="82">
        <f t="shared" si="0"/>
        <v>2.214843848047698</v>
      </c>
      <c r="F51" s="52"/>
      <c r="G51" s="68"/>
    </row>
    <row r="52" spans="1:14" ht="15" x14ac:dyDescent="0.3">
      <c r="A52" s="80">
        <v>2014</v>
      </c>
      <c r="B52" s="81">
        <f>'Extreme data'!C61</f>
        <v>302</v>
      </c>
      <c r="C52" s="82">
        <f t="shared" si="0"/>
        <v>2.4800069429571505</v>
      </c>
      <c r="F52" s="52"/>
      <c r="G52" s="68"/>
    </row>
    <row r="53" spans="1:14" ht="15" x14ac:dyDescent="0.3">
      <c r="A53" s="80">
        <v>2015</v>
      </c>
      <c r="B53" s="81">
        <f>'Extreme data'!C62</f>
        <v>367</v>
      </c>
      <c r="C53" s="82">
        <f t="shared" si="0"/>
        <v>2.5646660642520893</v>
      </c>
      <c r="F53" s="54"/>
      <c r="G53" s="68"/>
    </row>
    <row r="54" spans="1:14" ht="15" x14ac:dyDescent="0.3">
      <c r="A54" s="303"/>
      <c r="B54" s="70"/>
      <c r="C54" s="70"/>
      <c r="F54" s="102"/>
      <c r="G54" s="68"/>
    </row>
    <row r="55" spans="1:14" ht="15" x14ac:dyDescent="0.3">
      <c r="A55" s="361" t="s">
        <v>19</v>
      </c>
      <c r="B55" s="361"/>
      <c r="C55" s="361"/>
      <c r="F55" s="102"/>
      <c r="G55" s="68"/>
    </row>
    <row r="56" spans="1:14" ht="15" x14ac:dyDescent="0.3">
      <c r="A56" s="36" t="s">
        <v>20</v>
      </c>
      <c r="B56" s="37">
        <f>AVERAGE($B$12:$B$53)</f>
        <v>220.88095238095238</v>
      </c>
      <c r="C56" s="37" t="e">
        <f>AVERAGE($C$12:$C$53)</f>
        <v>#NUM!</v>
      </c>
      <c r="F56" s="102"/>
      <c r="G56" s="68"/>
    </row>
    <row r="57" spans="1:14" ht="15" x14ac:dyDescent="0.3">
      <c r="A57" s="36" t="s">
        <v>21</v>
      </c>
      <c r="B57" s="37">
        <f>STDEV($B$12:$B$53)</f>
        <v>146.40225281169393</v>
      </c>
      <c r="C57" s="37" t="e">
        <f>STDEV($C$12:$C$53)</f>
        <v>#NUM!</v>
      </c>
      <c r="F57" s="102"/>
      <c r="G57" s="68"/>
    </row>
    <row r="58" spans="1:14" ht="15" x14ac:dyDescent="0.3">
      <c r="A58" s="36" t="s">
        <v>23</v>
      </c>
      <c r="B58" s="37">
        <f>SKEW($B$12:$B$53)</f>
        <v>1.1232915806647485</v>
      </c>
      <c r="C58" s="37" t="e">
        <f>SKEW($C$12:$C$53)</f>
        <v>#NUM!</v>
      </c>
      <c r="F58" s="102"/>
      <c r="G58" s="68"/>
    </row>
    <row r="59" spans="1:14" ht="15" x14ac:dyDescent="0.3">
      <c r="A59" s="303"/>
      <c r="B59" s="70"/>
      <c r="C59" s="70"/>
      <c r="F59" s="102"/>
      <c r="G59" s="68"/>
    </row>
    <row r="60" spans="1:14" ht="15" x14ac:dyDescent="0.3">
      <c r="A60" s="303"/>
      <c r="B60" s="70"/>
      <c r="C60" s="70"/>
      <c r="F60" s="102"/>
      <c r="G60" s="68"/>
    </row>
    <row r="61" spans="1:14" ht="15" x14ac:dyDescent="0.3">
      <c r="A61" s="358" t="s">
        <v>81</v>
      </c>
      <c r="B61" s="358"/>
      <c r="C61" s="358"/>
      <c r="D61" s="358"/>
      <c r="E61" s="358"/>
      <c r="F61" s="358"/>
      <c r="G61" s="358"/>
      <c r="H61" s="358"/>
      <c r="I61" s="358"/>
      <c r="J61" s="358"/>
      <c r="K61" s="358"/>
    </row>
    <row r="62" spans="1:14" ht="15" x14ac:dyDescent="0.3">
      <c r="A62" s="364" t="s">
        <v>25</v>
      </c>
      <c r="B62" s="365" t="s">
        <v>26</v>
      </c>
      <c r="C62" s="365"/>
      <c r="D62" s="301" t="s">
        <v>8</v>
      </c>
      <c r="E62" s="301"/>
      <c r="F62" s="301"/>
      <c r="G62" s="301" t="s">
        <v>9</v>
      </c>
      <c r="H62" s="301"/>
      <c r="I62" s="301"/>
      <c r="J62" s="301" t="s">
        <v>7</v>
      </c>
      <c r="K62" s="301"/>
    </row>
    <row r="63" spans="1:14" ht="16.5" x14ac:dyDescent="0.35">
      <c r="A63" s="364"/>
      <c r="B63" s="41" t="s">
        <v>28</v>
      </c>
      <c r="C63" s="41" t="s">
        <v>29</v>
      </c>
      <c r="D63" s="300" t="s">
        <v>30</v>
      </c>
      <c r="E63" s="300" t="s">
        <v>54</v>
      </c>
      <c r="F63" s="300" t="s">
        <v>31</v>
      </c>
      <c r="G63" s="300" t="s">
        <v>55</v>
      </c>
      <c r="H63" s="300" t="s">
        <v>54</v>
      </c>
      <c r="I63" s="300" t="s">
        <v>31</v>
      </c>
      <c r="J63" s="300" t="s">
        <v>32</v>
      </c>
      <c r="K63" s="300" t="s">
        <v>33</v>
      </c>
      <c r="M63" s="92"/>
      <c r="N63" s="92"/>
    </row>
    <row r="64" spans="1:14" ht="15" x14ac:dyDescent="0.3">
      <c r="A64" s="62">
        <v>1</v>
      </c>
      <c r="B64" s="42">
        <f>1/A64</f>
        <v>1</v>
      </c>
      <c r="C64" s="42">
        <f>SQRT(LN(1/B64^2))</f>
        <v>0</v>
      </c>
      <c r="D64" s="42">
        <f t="shared" ref="D64:D76" si="1">C64-((2.51557+0.80285*C64+0.010328*C64^2)/(1+1.432788*C64+0.189269*C64^2+0.001308*C64^3))</f>
        <v>-2.5155699999999999</v>
      </c>
      <c r="E64" s="42" t="e">
        <f t="shared" ref="E64:E76" si="2">$C$56+D64*$C$57</f>
        <v>#NUM!</v>
      </c>
      <c r="F64" s="43" t="e">
        <f>(10)^E64</f>
        <v>#NUM!</v>
      </c>
      <c r="G64" s="42" t="e">
        <f t="shared" ref="G64:G76" si="3">D64+(D64^2-1)*($C$58/6)+((D64^3-6*D64)*($C$58/6)^2)/3-(D64^2-1)*($C$58/6)^3+D64*($C$58/6)^4+1/3*($C$58/6)^5</f>
        <v>#NUM!</v>
      </c>
      <c r="H64" s="42" t="e">
        <f t="shared" ref="H64:H76" si="4">$C$56+G64*$C$57</f>
        <v>#NUM!</v>
      </c>
      <c r="I64" s="43" t="e">
        <f>(10)^H64</f>
        <v>#NUM!</v>
      </c>
      <c r="J64" s="44"/>
      <c r="K64" s="43"/>
      <c r="M64" s="40"/>
      <c r="N64" s="40"/>
    </row>
    <row r="65" spans="1:15" ht="15" x14ac:dyDescent="0.3">
      <c r="A65" s="41">
        <v>2</v>
      </c>
      <c r="B65" s="42">
        <f>1/A65</f>
        <v>0.5</v>
      </c>
      <c r="C65" s="42">
        <f>SQRT(LN(1/B65^2))</f>
        <v>1.1774100225154747</v>
      </c>
      <c r="D65" s="42">
        <f t="shared" si="1"/>
        <v>-1.6861240179411041E-5</v>
      </c>
      <c r="E65" s="42" t="e">
        <f t="shared" si="2"/>
        <v>#NUM!</v>
      </c>
      <c r="F65" s="43" t="e">
        <f>(10)^E65</f>
        <v>#NUM!</v>
      </c>
      <c r="G65" s="42" t="e">
        <f t="shared" si="3"/>
        <v>#NUM!</v>
      </c>
      <c r="H65" s="42" t="e">
        <f t="shared" si="4"/>
        <v>#NUM!</v>
      </c>
      <c r="I65" s="43" t="e">
        <f>(10)^H65</f>
        <v>#NUM!</v>
      </c>
      <c r="J65" s="44">
        <f t="shared" ref="J65:J76" si="5">-LN(LN(A65/(A65-1)))</f>
        <v>0.36651292058166435</v>
      </c>
      <c r="K65" s="43">
        <f t="shared" ref="K65:K76" si="6">B$56-(0.577*SQRT(6)*B$57/PI())+(SQRT(6)*B$57/PI())*J65</f>
        <v>196.85398524883777</v>
      </c>
    </row>
    <row r="66" spans="1:15" ht="15" x14ac:dyDescent="0.3">
      <c r="A66" s="41">
        <v>2.33</v>
      </c>
      <c r="B66" s="42">
        <f>1/A66</f>
        <v>0.42918454935622319</v>
      </c>
      <c r="C66" s="42">
        <f>SQRT(LN(1/B66^2))</f>
        <v>1.3006677266524369</v>
      </c>
      <c r="D66" s="42">
        <f t="shared" si="1"/>
        <v>0.17808428211113303</v>
      </c>
      <c r="E66" s="42" t="e">
        <f t="shared" si="2"/>
        <v>#NUM!</v>
      </c>
      <c r="F66" s="43" t="e">
        <f>(10)^E66</f>
        <v>#NUM!</v>
      </c>
      <c r="G66" s="42" t="e">
        <f t="shared" si="3"/>
        <v>#NUM!</v>
      </c>
      <c r="H66" s="42" t="e">
        <f t="shared" si="4"/>
        <v>#NUM!</v>
      </c>
      <c r="I66" s="43" t="e">
        <f>(10)^H66</f>
        <v>#NUM!</v>
      </c>
      <c r="J66" s="44">
        <f t="shared" si="5"/>
        <v>0.57858831412193601</v>
      </c>
      <c r="K66" s="43">
        <f t="shared" si="6"/>
        <v>221.06225743449147</v>
      </c>
    </row>
    <row r="67" spans="1:15" ht="15" x14ac:dyDescent="0.3">
      <c r="A67" s="41">
        <v>5</v>
      </c>
      <c r="B67" s="42">
        <f>1/A67</f>
        <v>0.2</v>
      </c>
      <c r="C67" s="42">
        <f>SQRT(LN(1/B67^2))</f>
        <v>1.7941225779941015</v>
      </c>
      <c r="D67" s="42">
        <f t="shared" si="1"/>
        <v>0.84144534566621687</v>
      </c>
      <c r="E67" s="42" t="e">
        <f t="shared" si="2"/>
        <v>#NUM!</v>
      </c>
      <c r="F67" s="43" t="e">
        <f>(10)^E67</f>
        <v>#NUM!</v>
      </c>
      <c r="G67" s="42" t="e">
        <f t="shared" si="3"/>
        <v>#NUM!</v>
      </c>
      <c r="H67" s="42" t="e">
        <f t="shared" si="4"/>
        <v>#NUM!</v>
      </c>
      <c r="I67" s="43" t="e">
        <f>(10)^H67</f>
        <v>#NUM!</v>
      </c>
      <c r="J67" s="44">
        <f t="shared" si="5"/>
        <v>1.4999399867595156</v>
      </c>
      <c r="K67" s="43">
        <f t="shared" si="6"/>
        <v>326.23396876592602</v>
      </c>
    </row>
    <row r="68" spans="1:15" ht="15" x14ac:dyDescent="0.3">
      <c r="A68" s="41">
        <v>10</v>
      </c>
      <c r="B68" s="42">
        <f>1/A68</f>
        <v>0.1</v>
      </c>
      <c r="C68" s="42">
        <f>SQRT(LN(1/B68^2))</f>
        <v>2.1459660262893472</v>
      </c>
      <c r="D68" s="42">
        <f t="shared" si="1"/>
        <v>1.2817193675751226</v>
      </c>
      <c r="E68" s="42" t="e">
        <f t="shared" si="2"/>
        <v>#NUM!</v>
      </c>
      <c r="F68" s="43" t="e">
        <f>(10)^E68</f>
        <v>#NUM!</v>
      </c>
      <c r="G68" s="42" t="e">
        <f t="shared" si="3"/>
        <v>#NUM!</v>
      </c>
      <c r="H68" s="42" t="e">
        <f t="shared" si="4"/>
        <v>#NUM!</v>
      </c>
      <c r="I68" s="43" t="e">
        <f>(10)^H68</f>
        <v>#NUM!</v>
      </c>
      <c r="J68" s="44">
        <f t="shared" si="5"/>
        <v>2.2503673273124449</v>
      </c>
      <c r="K68" s="43">
        <f t="shared" si="6"/>
        <v>411.89477557806498</v>
      </c>
    </row>
    <row r="69" spans="1:15" ht="15" x14ac:dyDescent="0.3">
      <c r="A69" s="41">
        <v>20</v>
      </c>
      <c r="B69" s="42">
        <f t="shared" ref="B69:B76" si="7">1/A69</f>
        <v>0.05</v>
      </c>
      <c r="C69" s="42">
        <f t="shared" ref="C69:C76" si="8">SQRT(LN(1/B69^2))</f>
        <v>2.4477468306808166</v>
      </c>
      <c r="D69" s="42">
        <f t="shared" si="1"/>
        <v>1.6452033739823797</v>
      </c>
      <c r="E69" s="42" t="e">
        <f t="shared" si="2"/>
        <v>#NUM!</v>
      </c>
      <c r="F69" s="43" t="e">
        <f t="shared" ref="F69:F76" si="9">(10)^E69</f>
        <v>#NUM!</v>
      </c>
      <c r="G69" s="42" t="e">
        <f t="shared" si="3"/>
        <v>#NUM!</v>
      </c>
      <c r="H69" s="42" t="e">
        <f t="shared" si="4"/>
        <v>#NUM!</v>
      </c>
      <c r="I69" s="43" t="e">
        <f t="shared" ref="I69:I75" si="10">(10)^H69</f>
        <v>#NUM!</v>
      </c>
      <c r="J69" s="44">
        <f t="shared" si="5"/>
        <v>2.9701952490421655</v>
      </c>
      <c r="K69" s="43">
        <f t="shared" si="6"/>
        <v>494.06267806392066</v>
      </c>
    </row>
    <row r="70" spans="1:15" ht="15" x14ac:dyDescent="0.3">
      <c r="A70" s="41">
        <v>50</v>
      </c>
      <c r="B70" s="42">
        <f t="shared" si="7"/>
        <v>0.02</v>
      </c>
      <c r="C70" s="42">
        <f t="shared" si="8"/>
        <v>2.7971496225365371</v>
      </c>
      <c r="D70" s="42">
        <f t="shared" si="1"/>
        <v>2.0541817439773808</v>
      </c>
      <c r="E70" s="42" t="e">
        <f t="shared" si="2"/>
        <v>#NUM!</v>
      </c>
      <c r="F70" s="43" t="e">
        <f t="shared" si="9"/>
        <v>#NUM!</v>
      </c>
      <c r="G70" s="42" t="e">
        <f t="shared" si="3"/>
        <v>#NUM!</v>
      </c>
      <c r="H70" s="42" t="e">
        <f t="shared" si="4"/>
        <v>#NUM!</v>
      </c>
      <c r="I70" s="43" t="e">
        <f t="shared" si="10"/>
        <v>#NUM!</v>
      </c>
      <c r="J70" s="44">
        <f t="shared" si="5"/>
        <v>3.9019386579358333</v>
      </c>
      <c r="K70" s="43">
        <f t="shared" si="6"/>
        <v>600.42059952359978</v>
      </c>
    </row>
    <row r="71" spans="1:15" ht="15" x14ac:dyDescent="0.3">
      <c r="A71" s="45">
        <v>100</v>
      </c>
      <c r="B71" s="46">
        <f t="shared" si="7"/>
        <v>0.01</v>
      </c>
      <c r="C71" s="46">
        <f t="shared" si="8"/>
        <v>3.0348542587702929</v>
      </c>
      <c r="D71" s="46">
        <f t="shared" si="1"/>
        <v>2.3267791744716506</v>
      </c>
      <c r="E71" s="46" t="e">
        <f t="shared" si="2"/>
        <v>#NUM!</v>
      </c>
      <c r="F71" s="47" t="e">
        <f t="shared" si="9"/>
        <v>#NUM!</v>
      </c>
      <c r="G71" s="46" t="e">
        <f t="shared" si="3"/>
        <v>#NUM!</v>
      </c>
      <c r="H71" s="46" t="e">
        <f t="shared" si="4"/>
        <v>#NUM!</v>
      </c>
      <c r="I71" s="47" t="e">
        <f>(10)^H71</f>
        <v>#NUM!</v>
      </c>
      <c r="J71" s="48">
        <f t="shared" si="5"/>
        <v>4.6001492267765736</v>
      </c>
      <c r="K71" s="47">
        <f t="shared" si="6"/>
        <v>680.12089483479087</v>
      </c>
    </row>
    <row r="72" spans="1:15" ht="15" x14ac:dyDescent="0.3">
      <c r="A72" s="41">
        <v>200</v>
      </c>
      <c r="B72" s="42">
        <f t="shared" si="7"/>
        <v>5.0000000000000001E-3</v>
      </c>
      <c r="C72" s="42">
        <f t="shared" si="8"/>
        <v>3.2552472614374586</v>
      </c>
      <c r="D72" s="42">
        <f t="shared" si="1"/>
        <v>2.5762304772515181</v>
      </c>
      <c r="E72" s="42" t="e">
        <f t="shared" si="2"/>
        <v>#NUM!</v>
      </c>
      <c r="F72" s="43" t="e">
        <f t="shared" si="9"/>
        <v>#NUM!</v>
      </c>
      <c r="G72" s="42" t="e">
        <f t="shared" si="3"/>
        <v>#NUM!</v>
      </c>
      <c r="H72" s="42" t="e">
        <f t="shared" si="4"/>
        <v>#NUM!</v>
      </c>
      <c r="I72" s="43" t="e">
        <f t="shared" si="10"/>
        <v>#NUM!</v>
      </c>
      <c r="J72" s="44">
        <f t="shared" si="5"/>
        <v>5.295812142535044</v>
      </c>
      <c r="K72" s="43">
        <f t="shared" si="6"/>
        <v>759.53037715622099</v>
      </c>
    </row>
    <row r="73" spans="1:15" ht="15" x14ac:dyDescent="0.3">
      <c r="A73" s="41">
        <v>500</v>
      </c>
      <c r="B73" s="42">
        <f t="shared" si="7"/>
        <v>2E-3</v>
      </c>
      <c r="C73" s="42">
        <f t="shared" si="8"/>
        <v>3.5255093528232742</v>
      </c>
      <c r="D73" s="42">
        <f t="shared" si="1"/>
        <v>2.8785010937925581</v>
      </c>
      <c r="E73" s="42" t="e">
        <f t="shared" si="2"/>
        <v>#NUM!</v>
      </c>
      <c r="F73" s="43" t="e">
        <f t="shared" si="9"/>
        <v>#NUM!</v>
      </c>
      <c r="G73" s="42" t="e">
        <f t="shared" si="3"/>
        <v>#NUM!</v>
      </c>
      <c r="H73" s="42" t="e">
        <f t="shared" si="4"/>
        <v>#NUM!</v>
      </c>
      <c r="I73" s="43" t="e">
        <f t="shared" si="10"/>
        <v>#NUM!</v>
      </c>
      <c r="J73" s="44">
        <f t="shared" si="5"/>
        <v>6.213607264087516</v>
      </c>
      <c r="K73" s="43">
        <f t="shared" si="6"/>
        <v>864.29611042828151</v>
      </c>
    </row>
    <row r="74" spans="1:15" ht="15" x14ac:dyDescent="0.3">
      <c r="A74" s="41">
        <v>1000</v>
      </c>
      <c r="B74" s="42">
        <f t="shared" si="7"/>
        <v>1E-3</v>
      </c>
      <c r="C74" s="42">
        <f t="shared" si="8"/>
        <v>3.7169221888498383</v>
      </c>
      <c r="D74" s="42">
        <f t="shared" si="1"/>
        <v>3.090517579776618</v>
      </c>
      <c r="E74" s="42" t="e">
        <f t="shared" si="2"/>
        <v>#NUM!</v>
      </c>
      <c r="F74" s="43" t="e">
        <f t="shared" si="9"/>
        <v>#NUM!</v>
      </c>
      <c r="G74" s="42" t="e">
        <f t="shared" si="3"/>
        <v>#NUM!</v>
      </c>
      <c r="H74" s="42" t="e">
        <f t="shared" si="4"/>
        <v>#NUM!</v>
      </c>
      <c r="I74" s="43" t="e">
        <f t="shared" si="10"/>
        <v>#NUM!</v>
      </c>
      <c r="J74" s="44">
        <f t="shared" si="5"/>
        <v>6.907255070523628</v>
      </c>
      <c r="K74" s="43">
        <f t="shared" si="6"/>
        <v>943.47556929368886</v>
      </c>
    </row>
    <row r="75" spans="1:15" ht="15" x14ac:dyDescent="0.3">
      <c r="A75" s="41">
        <v>5000</v>
      </c>
      <c r="B75" s="42">
        <f t="shared" si="7"/>
        <v>2.0000000000000001E-4</v>
      </c>
      <c r="C75" s="42">
        <f t="shared" si="8"/>
        <v>4.1272734804992597</v>
      </c>
      <c r="D75" s="42">
        <f t="shared" si="1"/>
        <v>3.5402404913194201</v>
      </c>
      <c r="E75" s="42" t="e">
        <f t="shared" si="2"/>
        <v>#NUM!</v>
      </c>
      <c r="F75" s="43" t="e">
        <f t="shared" si="9"/>
        <v>#NUM!</v>
      </c>
      <c r="G75" s="42" t="e">
        <f t="shared" si="3"/>
        <v>#NUM!</v>
      </c>
      <c r="H75" s="42" t="e">
        <f t="shared" si="4"/>
        <v>#NUM!</v>
      </c>
      <c r="I75" s="43" t="e">
        <f t="shared" si="10"/>
        <v>#NUM!</v>
      </c>
      <c r="J75" s="44">
        <f t="shared" si="5"/>
        <v>8.5170931830821246</v>
      </c>
      <c r="K75" s="43">
        <f t="shared" si="6"/>
        <v>1127.2375727637177</v>
      </c>
    </row>
    <row r="76" spans="1:15" ht="15" x14ac:dyDescent="0.3">
      <c r="A76" s="41">
        <v>10000</v>
      </c>
      <c r="B76" s="42">
        <f t="shared" si="7"/>
        <v>1E-4</v>
      </c>
      <c r="C76" s="42">
        <f t="shared" si="8"/>
        <v>4.2919320525786944</v>
      </c>
      <c r="D76" s="42">
        <f t="shared" si="1"/>
        <v>3.7191205599951926</v>
      </c>
      <c r="E76" s="42" t="e">
        <f t="shared" si="2"/>
        <v>#NUM!</v>
      </c>
      <c r="F76" s="43" t="e">
        <f t="shared" si="9"/>
        <v>#NUM!</v>
      </c>
      <c r="G76" s="42" t="e">
        <f t="shared" si="3"/>
        <v>#NUM!</v>
      </c>
      <c r="H76" s="42" t="e">
        <f t="shared" si="4"/>
        <v>#NUM!</v>
      </c>
      <c r="I76" s="43" t="e">
        <f>(10)^H76</f>
        <v>#NUM!</v>
      </c>
      <c r="J76" s="44">
        <f t="shared" si="5"/>
        <v>9.2102903698935528</v>
      </c>
      <c r="K76" s="43">
        <f t="shared" si="6"/>
        <v>1206.365593683664</v>
      </c>
      <c r="O76" s="28"/>
    </row>
    <row r="77" spans="1:15" ht="16.5" x14ac:dyDescent="0.35">
      <c r="F77" s="54"/>
      <c r="G77" s="68"/>
      <c r="O77" s="36" t="s">
        <v>52</v>
      </c>
    </row>
    <row r="78" spans="1:15" ht="15" x14ac:dyDescent="0.3">
      <c r="G78" s="71"/>
      <c r="O78" s="36" t="s">
        <v>22</v>
      </c>
    </row>
    <row r="79" spans="1:15" ht="16.5" x14ac:dyDescent="0.35">
      <c r="O79" s="36" t="s">
        <v>53</v>
      </c>
    </row>
    <row r="85" spans="1:12" ht="13.5" customHeight="1" x14ac:dyDescent="0.3">
      <c r="A85" s="73"/>
    </row>
    <row r="86" spans="1:12" ht="13.5" customHeight="1" x14ac:dyDescent="0.3"/>
    <row r="95" spans="1:12" ht="15" x14ac:dyDescent="0.3">
      <c r="L95" s="85"/>
    </row>
    <row r="96" spans="1:12" ht="15" x14ac:dyDescent="0.3">
      <c r="L96" s="85"/>
    </row>
    <row r="97" spans="4:12" ht="15" x14ac:dyDescent="0.3">
      <c r="L97" s="85"/>
    </row>
    <row r="98" spans="4:12" ht="15" x14ac:dyDescent="0.3">
      <c r="L98" s="85"/>
    </row>
    <row r="99" spans="4:12" ht="15" x14ac:dyDescent="0.3">
      <c r="L99" s="85"/>
    </row>
    <row r="100" spans="4:12" ht="15" x14ac:dyDescent="0.3">
      <c r="L100" s="85"/>
    </row>
    <row r="101" spans="4:12" ht="15" x14ac:dyDescent="0.3">
      <c r="L101" s="85"/>
    </row>
    <row r="102" spans="4:12" x14ac:dyDescent="0.3">
      <c r="L102" s="72"/>
    </row>
    <row r="103" spans="4:12" x14ac:dyDescent="0.3">
      <c r="D103" s="73"/>
      <c r="E103" s="73"/>
      <c r="F103" s="73"/>
      <c r="G103" s="73"/>
      <c r="H103" s="73"/>
      <c r="I103" s="73"/>
      <c r="J103" s="73"/>
      <c r="K103" s="73"/>
      <c r="L103" s="72"/>
    </row>
    <row r="104" spans="4:12" x14ac:dyDescent="0.3">
      <c r="L104" s="72"/>
    </row>
    <row r="105" spans="4:12" x14ac:dyDescent="0.3">
      <c r="L105" s="72"/>
    </row>
    <row r="107" spans="4:12" ht="13.5" hidden="1" customHeight="1" x14ac:dyDescent="0.3">
      <c r="D107" s="73"/>
      <c r="E107" s="73"/>
      <c r="F107" s="73"/>
      <c r="G107" s="73"/>
      <c r="H107" s="73"/>
      <c r="I107" s="73"/>
      <c r="J107" s="73"/>
      <c r="K107" s="73"/>
    </row>
    <row r="108" spans="4:12" hidden="1" x14ac:dyDescent="0.3">
      <c r="D108" s="73"/>
      <c r="E108" s="362" t="s">
        <v>8</v>
      </c>
      <c r="F108" s="362"/>
      <c r="G108" s="363" t="s">
        <v>27</v>
      </c>
      <c r="H108" s="363"/>
      <c r="I108" s="73"/>
      <c r="J108" s="73"/>
      <c r="K108" s="73"/>
    </row>
    <row r="109" spans="4:12" hidden="1" x14ac:dyDescent="0.3">
      <c r="D109" s="29" t="s">
        <v>22</v>
      </c>
      <c r="E109" s="74"/>
      <c r="F109" s="74"/>
      <c r="G109" s="74"/>
    </row>
    <row r="110" spans="4:12" hidden="1" x14ac:dyDescent="0.3">
      <c r="D110" s="29" t="s">
        <v>74</v>
      </c>
      <c r="E110" s="74" t="e">
        <f>#REF!-#REF!</f>
        <v>#REF!</v>
      </c>
      <c r="F110" s="74"/>
      <c r="G110" s="74" t="e">
        <f>#REF!-#REF!</f>
        <v>#REF!</v>
      </c>
    </row>
    <row r="111" spans="4:12" hidden="1" x14ac:dyDescent="0.3">
      <c r="D111" s="29" t="s">
        <v>75</v>
      </c>
      <c r="E111" s="74">
        <f>D71-D65</f>
        <v>2.3267960357118298</v>
      </c>
      <c r="F111" s="74"/>
      <c r="G111" s="74" t="e">
        <f>G71-G65</f>
        <v>#NUM!</v>
      </c>
    </row>
    <row r="112" spans="4:12" hidden="1" x14ac:dyDescent="0.3">
      <c r="D112" s="29" t="s">
        <v>22</v>
      </c>
      <c r="E112" s="74" t="e">
        <f>E110/E111</f>
        <v>#REF!</v>
      </c>
      <c r="F112" s="74"/>
      <c r="G112" s="74" t="e">
        <f>G110/G111</f>
        <v>#REF!</v>
      </c>
    </row>
    <row r="113" spans="4:7" hidden="1" x14ac:dyDescent="0.3">
      <c r="D113" s="29" t="s">
        <v>76</v>
      </c>
      <c r="E113" s="74" t="e">
        <f>#REF!-D65*E112</f>
        <v>#REF!</v>
      </c>
      <c r="F113" s="74"/>
      <c r="G113" s="74" t="e">
        <f>#REF!-G65*G112</f>
        <v>#REF!</v>
      </c>
    </row>
    <row r="114" spans="4:7" hidden="1" x14ac:dyDescent="0.3">
      <c r="E114" s="74" t="e">
        <f>10^E113</f>
        <v>#REF!</v>
      </c>
      <c r="F114" s="74"/>
      <c r="G114" s="74" t="e">
        <f>10^G113</f>
        <v>#REF!</v>
      </c>
    </row>
    <row r="119" spans="4:7" x14ac:dyDescent="0.3">
      <c r="G119" s="75"/>
    </row>
  </sheetData>
  <mergeCells count="8">
    <mergeCell ref="A61:K61"/>
    <mergeCell ref="B10:C10"/>
    <mergeCell ref="A9:C9"/>
    <mergeCell ref="A55:C55"/>
    <mergeCell ref="E108:F108"/>
    <mergeCell ref="G108:H108"/>
    <mergeCell ref="A62:A63"/>
    <mergeCell ref="B62:C62"/>
  </mergeCells>
  <pageMargins left="0.75" right="0.75" top="1" bottom="1" header="0.5" footer="0.5"/>
  <pageSetup paperSize="9" scale="78" orientation="portrait" r:id="rId1"/>
  <headerFooter alignWithMargins="0"/>
  <rowBreaks count="2" manualBreakCount="2">
    <brk id="60" max="8" man="1"/>
    <brk id="114" max="16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M37"/>
  <sheetViews>
    <sheetView zoomScaleNormal="100" workbookViewId="0">
      <selection activeCell="G13" sqref="G13"/>
    </sheetView>
  </sheetViews>
  <sheetFormatPr defaultRowHeight="12.75" x14ac:dyDescent="0.2"/>
  <cols>
    <col min="1" max="1" width="21" customWidth="1"/>
    <col min="2" max="2" width="12" customWidth="1"/>
    <col min="3" max="3" width="12.28515625" customWidth="1"/>
    <col min="4" max="4" width="14.42578125" customWidth="1"/>
    <col min="5" max="6" width="12" customWidth="1"/>
    <col min="7" max="11" width="11.5703125" bestFit="1" customWidth="1"/>
    <col min="12" max="12" width="13.42578125" customWidth="1"/>
    <col min="13" max="14" width="11.5703125" bestFit="1" customWidth="1"/>
    <col min="18" max="18" width="19.28515625" customWidth="1"/>
    <col min="19" max="19" width="20.7109375" customWidth="1"/>
    <col min="21" max="21" width="18.5703125" customWidth="1"/>
    <col min="22" max="22" width="19.85546875" customWidth="1"/>
  </cols>
  <sheetData>
    <row r="1" spans="1:13" ht="15" x14ac:dyDescent="0.3">
      <c r="A1" s="366" t="s">
        <v>65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1:13" ht="15" x14ac:dyDescent="0.3">
      <c r="A2" s="366" t="s">
        <v>63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</row>
    <row r="3" spans="1:13" ht="15" x14ac:dyDescent="0.3">
      <c r="A3" s="26" t="s">
        <v>11</v>
      </c>
      <c r="B3" s="26" t="s">
        <v>68</v>
      </c>
      <c r="C3" s="26"/>
      <c r="D3" s="28"/>
      <c r="E3" s="28"/>
      <c r="F3" s="28"/>
      <c r="G3" s="28"/>
      <c r="H3" s="10"/>
      <c r="I3" s="10"/>
      <c r="J3" s="29"/>
      <c r="K3" s="29"/>
      <c r="L3" s="10"/>
    </row>
    <row r="4" spans="1:13" ht="15" x14ac:dyDescent="0.3">
      <c r="A4" s="26" t="s">
        <v>12</v>
      </c>
      <c r="B4" s="26" t="s">
        <v>58</v>
      </c>
      <c r="C4" s="26"/>
      <c r="D4" s="26"/>
      <c r="E4" s="28"/>
      <c r="G4" s="28"/>
      <c r="H4" s="10"/>
      <c r="I4" s="10"/>
      <c r="J4" s="29"/>
      <c r="K4" s="29"/>
      <c r="L4" s="10"/>
    </row>
    <row r="5" spans="1:13" ht="15" x14ac:dyDescent="0.3">
      <c r="A5" s="26" t="s">
        <v>13</v>
      </c>
      <c r="B5" s="31">
        <f ca="1">TODAY()</f>
        <v>44614</v>
      </c>
      <c r="C5" s="31"/>
      <c r="D5" s="28"/>
      <c r="E5" s="28"/>
      <c r="F5" s="28"/>
      <c r="G5" s="28"/>
      <c r="H5" s="10"/>
      <c r="I5" s="10"/>
      <c r="J5" s="29"/>
      <c r="K5" s="29"/>
      <c r="L5" s="10"/>
    </row>
    <row r="6" spans="1:13" ht="15" x14ac:dyDescent="0.3">
      <c r="A6" s="28" t="s">
        <v>66</v>
      </c>
      <c r="B6" s="17"/>
    </row>
    <row r="7" spans="1:13" x14ac:dyDescent="0.2">
      <c r="A7" s="1" t="s">
        <v>40</v>
      </c>
    </row>
    <row r="8" spans="1:13" x14ac:dyDescent="0.2">
      <c r="A8" s="11" t="s">
        <v>72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">
      <c r="A10" s="2" t="s">
        <v>0</v>
      </c>
      <c r="B10" s="2"/>
      <c r="C10" s="367" t="s">
        <v>1</v>
      </c>
      <c r="D10" s="368"/>
      <c r="E10" s="368"/>
      <c r="F10" s="368"/>
      <c r="G10" s="368"/>
      <c r="H10" s="368"/>
      <c r="I10" s="368"/>
      <c r="J10" s="368"/>
      <c r="K10" s="369"/>
      <c r="L10" s="58"/>
      <c r="M10" s="6"/>
    </row>
    <row r="11" spans="1:13" x14ac:dyDescent="0.2">
      <c r="A11" s="2"/>
      <c r="B11" s="3"/>
      <c r="C11" s="3">
        <v>2</v>
      </c>
      <c r="D11" s="3">
        <v>5</v>
      </c>
      <c r="E11" s="3">
        <v>10</v>
      </c>
      <c r="F11" s="3">
        <v>20</v>
      </c>
      <c r="G11" s="3">
        <v>50</v>
      </c>
      <c r="H11" s="3">
        <v>100</v>
      </c>
      <c r="I11" s="3">
        <v>200</v>
      </c>
      <c r="J11" s="3">
        <v>500</v>
      </c>
      <c r="K11" s="55">
        <v>1000</v>
      </c>
      <c r="L11" s="59"/>
      <c r="M11" s="6"/>
    </row>
    <row r="12" spans="1:13" x14ac:dyDescent="0.2">
      <c r="A12" s="8" t="s">
        <v>8</v>
      </c>
      <c r="B12" s="22"/>
      <c r="C12" s="9" t="e">
        <f>#REF!</f>
        <v>#REF!</v>
      </c>
      <c r="D12" s="4" t="e">
        <f>#REF!</f>
        <v>#REF!</v>
      </c>
      <c r="E12" s="4" t="e">
        <f>#REF!</f>
        <v>#REF!</v>
      </c>
      <c r="F12" s="4" t="e">
        <f>#REF!</f>
        <v>#REF!</v>
      </c>
      <c r="G12" s="4" t="e">
        <f>#REF!</f>
        <v>#REF!</v>
      </c>
      <c r="H12" s="4" t="e">
        <f>#REF!</f>
        <v>#REF!</v>
      </c>
      <c r="I12" s="4" t="e">
        <f>#REF!</f>
        <v>#REF!</v>
      </c>
      <c r="J12" s="4" t="e">
        <f>#REF!</f>
        <v>#REF!</v>
      </c>
      <c r="K12" s="57" t="e">
        <f>#REF!</f>
        <v>#REF!</v>
      </c>
      <c r="L12" s="56"/>
      <c r="M12" s="6"/>
    </row>
    <row r="13" spans="1:13" x14ac:dyDescent="0.2">
      <c r="A13" s="8" t="s">
        <v>9</v>
      </c>
      <c r="B13" s="3"/>
      <c r="C13" s="9" t="e">
        <f>#REF!</f>
        <v>#REF!</v>
      </c>
      <c r="D13" s="4" t="e">
        <f>#REF!</f>
        <v>#REF!</v>
      </c>
      <c r="E13" s="4" t="e">
        <f>#REF!</f>
        <v>#REF!</v>
      </c>
      <c r="F13" s="4" t="e">
        <f>#REF!</f>
        <v>#REF!</v>
      </c>
      <c r="G13" s="4"/>
      <c r="H13" s="4"/>
      <c r="I13" s="4"/>
      <c r="J13" s="4"/>
      <c r="K13" s="57"/>
      <c r="L13" s="56"/>
      <c r="M13" s="60"/>
    </row>
    <row r="14" spans="1:13" x14ac:dyDescent="0.2">
      <c r="A14" s="8" t="s">
        <v>7</v>
      </c>
      <c r="B14" s="3"/>
      <c r="C14" s="9"/>
      <c r="D14" s="4"/>
      <c r="E14" s="4"/>
      <c r="F14" s="4"/>
      <c r="G14" s="4"/>
      <c r="H14" s="4"/>
      <c r="I14" s="4"/>
      <c r="J14" s="4"/>
      <c r="K14" s="57"/>
      <c r="L14" s="56"/>
      <c r="M14" s="6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1" t="s">
        <v>69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2"/>
      <c r="B17" s="12"/>
      <c r="C17" s="12"/>
      <c r="D17" s="12"/>
      <c r="E17" s="12"/>
      <c r="F17" s="12"/>
      <c r="G17" s="12"/>
      <c r="H17" s="12"/>
      <c r="I17" s="20"/>
      <c r="J17" s="13"/>
      <c r="K17" s="12"/>
      <c r="L17" s="12"/>
      <c r="M17" s="12"/>
    </row>
    <row r="18" spans="1:13" x14ac:dyDescent="0.2">
      <c r="A18" s="12"/>
      <c r="B18" s="20" t="s">
        <v>64</v>
      </c>
      <c r="C18" s="13"/>
      <c r="D18" s="12"/>
      <c r="E18" s="12"/>
      <c r="F18" s="12"/>
      <c r="G18" s="12"/>
      <c r="H18" s="18"/>
      <c r="I18" s="14"/>
      <c r="J18" s="14"/>
      <c r="K18" s="12"/>
      <c r="L18" s="19"/>
      <c r="M18" s="12"/>
    </row>
    <row r="19" spans="1:13" x14ac:dyDescent="0.2">
      <c r="A19" s="18" t="s">
        <v>67</v>
      </c>
      <c r="B19" s="63" t="e">
        <f>#REF!</f>
        <v>#REF!</v>
      </c>
      <c r="C19" s="14"/>
      <c r="D19" s="12"/>
      <c r="E19" s="12"/>
      <c r="F19" s="12"/>
      <c r="G19" s="12"/>
      <c r="H19" s="18"/>
      <c r="I19" s="14"/>
      <c r="J19" s="14"/>
      <c r="K19" s="12"/>
      <c r="L19" s="12"/>
      <c r="M19" s="12"/>
    </row>
    <row r="20" spans="1:13" x14ac:dyDescent="0.2">
      <c r="A20" s="18" t="s">
        <v>70</v>
      </c>
      <c r="B20" s="64" t="e">
        <f>#REF!</f>
        <v>#REF!</v>
      </c>
      <c r="C20" s="14"/>
      <c r="D20" s="65" t="e">
        <f>(B20/B19)^0.85</f>
        <v>#REF!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customHeight="1" x14ac:dyDescent="0.2">
      <c r="A21" s="2" t="s">
        <v>0</v>
      </c>
      <c r="B21" s="3"/>
      <c r="C21" s="367" t="s">
        <v>1</v>
      </c>
      <c r="D21" s="368"/>
      <c r="E21" s="368"/>
      <c r="F21" s="368"/>
      <c r="G21" s="368"/>
      <c r="H21" s="368"/>
      <c r="I21" s="368"/>
      <c r="J21" s="368"/>
      <c r="K21" s="369"/>
      <c r="L21" s="5"/>
      <c r="M21" s="12"/>
    </row>
    <row r="22" spans="1:13" x14ac:dyDescent="0.2">
      <c r="A22" s="2"/>
      <c r="B22" s="3"/>
      <c r="C22" s="3">
        <v>2</v>
      </c>
      <c r="D22" s="3">
        <v>5</v>
      </c>
      <c r="E22" s="3">
        <v>10</v>
      </c>
      <c r="F22" s="3">
        <v>20</v>
      </c>
      <c r="G22" s="3">
        <v>50</v>
      </c>
      <c r="H22" s="3">
        <v>100</v>
      </c>
      <c r="I22" s="3">
        <v>200</v>
      </c>
      <c r="J22" s="3">
        <v>500</v>
      </c>
      <c r="K22" s="3">
        <v>1000</v>
      </c>
      <c r="L22" s="5"/>
      <c r="M22" s="12"/>
    </row>
    <row r="23" spans="1:13" x14ac:dyDescent="0.2">
      <c r="A23" s="8" t="s">
        <v>8</v>
      </c>
      <c r="B23" s="4"/>
      <c r="C23" s="4" t="e">
        <f>C12*($B$20/$B$19)^0.85</f>
        <v>#REF!</v>
      </c>
      <c r="D23" s="4" t="e">
        <f t="shared" ref="D23:K25" si="0">D12*($B$20/$B$19)^0.85</f>
        <v>#REF!</v>
      </c>
      <c r="E23" s="4" t="e">
        <f t="shared" si="0"/>
        <v>#REF!</v>
      </c>
      <c r="F23" s="4" t="e">
        <f t="shared" si="0"/>
        <v>#REF!</v>
      </c>
      <c r="G23" s="4" t="e">
        <f t="shared" si="0"/>
        <v>#REF!</v>
      </c>
      <c r="H23" s="4" t="e">
        <f t="shared" si="0"/>
        <v>#REF!</v>
      </c>
      <c r="I23" s="4" t="e">
        <f t="shared" si="0"/>
        <v>#REF!</v>
      </c>
      <c r="J23" s="4" t="e">
        <f t="shared" si="0"/>
        <v>#REF!</v>
      </c>
      <c r="K23" s="4" t="e">
        <f t="shared" si="0"/>
        <v>#REF!</v>
      </c>
      <c r="L23" s="7"/>
      <c r="M23" s="12"/>
    </row>
    <row r="24" spans="1:13" x14ac:dyDescent="0.2">
      <c r="A24" s="8" t="s">
        <v>9</v>
      </c>
      <c r="B24" s="4"/>
      <c r="C24" s="4" t="e">
        <f>C13*($B$20/$B$19)^0.85</f>
        <v>#REF!</v>
      </c>
      <c r="D24" s="4" t="e">
        <f t="shared" si="0"/>
        <v>#REF!</v>
      </c>
      <c r="E24" s="4" t="e">
        <f t="shared" si="0"/>
        <v>#REF!</v>
      </c>
      <c r="F24" s="4" t="e">
        <f t="shared" si="0"/>
        <v>#REF!</v>
      </c>
      <c r="G24" s="4" t="e">
        <f t="shared" si="0"/>
        <v>#REF!</v>
      </c>
      <c r="H24" s="4" t="e">
        <f t="shared" si="0"/>
        <v>#REF!</v>
      </c>
      <c r="I24" s="4" t="e">
        <f t="shared" si="0"/>
        <v>#REF!</v>
      </c>
      <c r="J24" s="4" t="e">
        <f t="shared" si="0"/>
        <v>#REF!</v>
      </c>
      <c r="K24" s="4" t="e">
        <f>K13*($B$20/$B$19)^0.85</f>
        <v>#REF!</v>
      </c>
      <c r="L24" s="56"/>
      <c r="M24" s="12"/>
    </row>
    <row r="25" spans="1:13" x14ac:dyDescent="0.2">
      <c r="A25" s="8" t="s">
        <v>7</v>
      </c>
      <c r="B25" s="3"/>
      <c r="C25" s="4" t="e">
        <f>C14*($B$20/$B$19)^0.85</f>
        <v>#REF!</v>
      </c>
      <c r="D25" s="4" t="e">
        <f t="shared" si="0"/>
        <v>#REF!</v>
      </c>
      <c r="E25" s="4" t="e">
        <f t="shared" si="0"/>
        <v>#REF!</v>
      </c>
      <c r="F25" s="4" t="e">
        <f t="shared" si="0"/>
        <v>#REF!</v>
      </c>
      <c r="G25" s="4" t="e">
        <f t="shared" si="0"/>
        <v>#REF!</v>
      </c>
      <c r="H25" s="4" t="e">
        <f>H14*($B$20/$B$19)^0.85</f>
        <v>#REF!</v>
      </c>
      <c r="I25" s="4" t="e">
        <f t="shared" si="0"/>
        <v>#REF!</v>
      </c>
      <c r="J25" s="4" t="e">
        <f t="shared" si="0"/>
        <v>#REF!</v>
      </c>
      <c r="K25" s="4" t="e">
        <f t="shared" si="0"/>
        <v>#REF!</v>
      </c>
      <c r="L25" s="7"/>
      <c r="M25" s="12"/>
    </row>
    <row r="26" spans="1:13" x14ac:dyDescent="0.2">
      <c r="A26" s="15"/>
      <c r="B26" s="1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2"/>
    </row>
    <row r="27" spans="1:13" x14ac:dyDescent="0.2">
      <c r="A27" s="11"/>
      <c r="B27" s="12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">
      <c r="A28" s="12"/>
      <c r="B28" s="20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">
      <c r="A29" s="18" t="str">
        <f>A19</f>
        <v xml:space="preserve">Sabaya Khola </v>
      </c>
      <c r="B29" s="63" t="e">
        <f>B19</f>
        <v>#REF!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">
      <c r="A30" s="18" t="s">
        <v>71</v>
      </c>
      <c r="B30" s="2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s="2" t="s">
        <v>0</v>
      </c>
      <c r="B32" s="3"/>
      <c r="C32" s="367" t="s">
        <v>1</v>
      </c>
      <c r="D32" s="368"/>
      <c r="E32" s="368"/>
      <c r="F32" s="368"/>
      <c r="G32" s="368"/>
      <c r="H32" s="368"/>
      <c r="I32" s="368"/>
      <c r="J32" s="368"/>
      <c r="K32" s="369"/>
      <c r="L32" s="5"/>
      <c r="M32" s="12"/>
    </row>
    <row r="33" spans="1:13" x14ac:dyDescent="0.2">
      <c r="A33" s="2"/>
      <c r="B33" s="3"/>
      <c r="C33" s="3">
        <v>2</v>
      </c>
      <c r="D33" s="3">
        <v>5</v>
      </c>
      <c r="E33" s="3">
        <v>10</v>
      </c>
      <c r="F33" s="3">
        <v>20</v>
      </c>
      <c r="G33" s="3">
        <v>50</v>
      </c>
      <c r="H33" s="3">
        <v>100</v>
      </c>
      <c r="I33" s="3">
        <v>200</v>
      </c>
      <c r="J33" s="3">
        <v>500</v>
      </c>
      <c r="K33" s="3">
        <v>1000</v>
      </c>
      <c r="L33" s="5"/>
      <c r="M33" s="12"/>
    </row>
    <row r="34" spans="1:13" x14ac:dyDescent="0.2">
      <c r="A34" s="8" t="s">
        <v>8</v>
      </c>
      <c r="B34" s="4"/>
      <c r="C34" s="4" t="e">
        <f>C12*($B$30/$B$29)^0.9</f>
        <v>#REF!</v>
      </c>
      <c r="D34" s="4" t="e">
        <f t="shared" ref="D34:K36" si="1">D12*($B$30/$B$29)^0.9</f>
        <v>#REF!</v>
      </c>
      <c r="E34" s="4" t="e">
        <f t="shared" si="1"/>
        <v>#REF!</v>
      </c>
      <c r="F34" s="4" t="e">
        <f t="shared" si="1"/>
        <v>#REF!</v>
      </c>
      <c r="G34" s="4" t="e">
        <f t="shared" si="1"/>
        <v>#REF!</v>
      </c>
      <c r="H34" s="4" t="e">
        <f t="shared" si="1"/>
        <v>#REF!</v>
      </c>
      <c r="I34" s="4" t="e">
        <f t="shared" si="1"/>
        <v>#REF!</v>
      </c>
      <c r="J34" s="4" t="e">
        <f t="shared" si="1"/>
        <v>#REF!</v>
      </c>
      <c r="K34" s="4" t="e">
        <f t="shared" si="1"/>
        <v>#REF!</v>
      </c>
      <c r="L34" s="7"/>
      <c r="M34" s="12"/>
    </row>
    <row r="35" spans="1:13" x14ac:dyDescent="0.2">
      <c r="A35" s="8" t="s">
        <v>9</v>
      </c>
      <c r="B35" s="4"/>
      <c r="C35" s="4" t="e">
        <f>C13*($B$30/$B$29)^0.9</f>
        <v>#REF!</v>
      </c>
      <c r="D35" s="4" t="e">
        <f t="shared" si="1"/>
        <v>#REF!</v>
      </c>
      <c r="E35" s="4" t="e">
        <f t="shared" si="1"/>
        <v>#REF!</v>
      </c>
      <c r="F35" s="4" t="e">
        <f t="shared" si="1"/>
        <v>#REF!</v>
      </c>
      <c r="G35" s="4" t="e">
        <f t="shared" si="1"/>
        <v>#REF!</v>
      </c>
      <c r="H35" s="4" t="e">
        <f t="shared" si="1"/>
        <v>#REF!</v>
      </c>
      <c r="I35" s="4" t="e">
        <f t="shared" si="1"/>
        <v>#REF!</v>
      </c>
      <c r="J35" s="4" t="e">
        <f t="shared" si="1"/>
        <v>#REF!</v>
      </c>
      <c r="K35" s="4" t="e">
        <f t="shared" si="1"/>
        <v>#REF!</v>
      </c>
      <c r="L35" s="7"/>
      <c r="M35" s="12"/>
    </row>
    <row r="36" spans="1:13" x14ac:dyDescent="0.2">
      <c r="A36" s="8" t="s">
        <v>7</v>
      </c>
      <c r="B36" s="3"/>
      <c r="C36" s="4" t="e">
        <f>C14*($B$30/$B$29)^0.9</f>
        <v>#REF!</v>
      </c>
      <c r="D36" s="4" t="e">
        <f t="shared" si="1"/>
        <v>#REF!</v>
      </c>
      <c r="E36" s="4" t="e">
        <f t="shared" si="1"/>
        <v>#REF!</v>
      </c>
      <c r="F36" s="4" t="e">
        <f t="shared" si="1"/>
        <v>#REF!</v>
      </c>
      <c r="G36" s="4" t="e">
        <f t="shared" si="1"/>
        <v>#REF!</v>
      </c>
      <c r="H36" s="4" t="e">
        <f t="shared" si="1"/>
        <v>#REF!</v>
      </c>
      <c r="I36" s="4" t="e">
        <f t="shared" si="1"/>
        <v>#REF!</v>
      </c>
      <c r="J36" s="4" t="e">
        <f t="shared" si="1"/>
        <v>#REF!</v>
      </c>
      <c r="K36" s="4" t="e">
        <f t="shared" si="1"/>
        <v>#REF!</v>
      </c>
      <c r="L36" s="7"/>
      <c r="M36" s="12"/>
    </row>
    <row r="37" spans="1:13" x14ac:dyDescent="0.2">
      <c r="A37" s="14"/>
      <c r="B37" s="12"/>
      <c r="C37" s="12"/>
      <c r="D37" s="12"/>
      <c r="E37" s="12"/>
      <c r="F37" s="12"/>
      <c r="G37" s="12"/>
      <c r="H37" s="7"/>
      <c r="I37" s="12"/>
      <c r="J37" s="12"/>
      <c r="K37" s="12"/>
      <c r="L37" s="12"/>
      <c r="M37" s="12"/>
    </row>
  </sheetData>
  <mergeCells count="5">
    <mergeCell ref="A1:L1"/>
    <mergeCell ref="A2:L2"/>
    <mergeCell ref="C10:K10"/>
    <mergeCell ref="C21:K21"/>
    <mergeCell ref="C32:K32"/>
  </mergeCells>
  <printOptions horizontalCentered="1"/>
  <pageMargins left="0.75" right="0.75" top="1" bottom="1" header="0.5" footer="0.5"/>
  <pageSetup paperSize="9" scale="75" fitToHeight="4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6" tint="-0.499984740745262"/>
  </sheetPr>
  <dimension ref="A1:Q93"/>
  <sheetViews>
    <sheetView tabSelected="1" workbookViewId="0">
      <selection activeCell="F54" sqref="F54"/>
    </sheetView>
  </sheetViews>
  <sheetFormatPr defaultRowHeight="13.5" x14ac:dyDescent="0.3"/>
  <cols>
    <col min="1" max="1" width="10.7109375" style="29" customWidth="1"/>
    <col min="2" max="2" width="14.42578125" style="29" customWidth="1"/>
    <col min="3" max="3" width="10.28515625" style="29" customWidth="1"/>
    <col min="4" max="4" width="6.140625" style="29" bestFit="1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251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602.5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6" t="s">
        <v>250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61" t="s">
        <v>14</v>
      </c>
      <c r="B9" s="361"/>
      <c r="C9" s="361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98">
        <f>'Extreme data'!D21</f>
        <v>65.7</v>
      </c>
      <c r="C12" s="82">
        <f>IF(B12="","",LOG(B12))</f>
        <v>1.8175653695597809</v>
      </c>
    </row>
    <row r="13" spans="1:16" ht="15" x14ac:dyDescent="0.3">
      <c r="A13" s="80">
        <v>1975</v>
      </c>
      <c r="B13" s="98">
        <f>'Extreme data'!D22</f>
        <v>66.599999999999994</v>
      </c>
      <c r="C13" s="82">
        <f t="shared" ref="C13:C17" si="0">IF(B13="","",LOG(B13))</f>
        <v>1.823474229170301</v>
      </c>
    </row>
    <row r="14" spans="1:16" ht="15" x14ac:dyDescent="0.3">
      <c r="A14" s="80">
        <v>1976</v>
      </c>
      <c r="B14" s="98">
        <f>'Extreme data'!D23</f>
        <v>59.6</v>
      </c>
      <c r="C14" s="82">
        <f t="shared" si="0"/>
        <v>1.7752462597402365</v>
      </c>
    </row>
    <row r="15" spans="1:16" ht="15" x14ac:dyDescent="0.3">
      <c r="A15" s="80">
        <v>1979</v>
      </c>
      <c r="B15" s="98">
        <f>'Extreme data'!D26</f>
        <v>88</v>
      </c>
      <c r="C15" s="82">
        <f t="shared" si="0"/>
        <v>1.9444826721501687</v>
      </c>
    </row>
    <row r="16" spans="1:16" ht="15" x14ac:dyDescent="0.3">
      <c r="A16" s="80">
        <v>1984</v>
      </c>
      <c r="B16" s="98">
        <f>'Extreme data'!D31</f>
        <v>34.4</v>
      </c>
      <c r="C16" s="82">
        <f t="shared" si="0"/>
        <v>1.5365584425715302</v>
      </c>
    </row>
    <row r="17" spans="1:7" ht="15" x14ac:dyDescent="0.3">
      <c r="A17" s="80">
        <v>1985</v>
      </c>
      <c r="B17" s="98">
        <f>'Extreme data'!D32</f>
        <v>41.6</v>
      </c>
      <c r="C17" s="82">
        <f t="shared" si="0"/>
        <v>1.6190933306267428</v>
      </c>
    </row>
    <row r="18" spans="1:7" ht="15" x14ac:dyDescent="0.3">
      <c r="A18" s="80">
        <v>1986</v>
      </c>
      <c r="B18" s="98">
        <f>'Extreme data'!D33</f>
        <v>50</v>
      </c>
      <c r="C18" s="82">
        <f t="shared" ref="C18:C45" si="1">IF(B18="","",LOG(B18))</f>
        <v>1.6989700043360187</v>
      </c>
    </row>
    <row r="19" spans="1:7" ht="15" x14ac:dyDescent="0.3">
      <c r="A19" s="80">
        <v>1987</v>
      </c>
      <c r="B19" s="98">
        <f>'Extreme data'!D34</f>
        <v>38.200000000000003</v>
      </c>
      <c r="C19" s="82">
        <f t="shared" si="1"/>
        <v>1.5820633629117087</v>
      </c>
    </row>
    <row r="20" spans="1:7" ht="15" x14ac:dyDescent="0.3">
      <c r="A20" s="80">
        <v>1988</v>
      </c>
      <c r="B20" s="98">
        <f>'Extreme data'!D35</f>
        <v>62</v>
      </c>
      <c r="C20" s="82">
        <f t="shared" si="1"/>
        <v>1.7923916894982539</v>
      </c>
      <c r="F20" s="52"/>
      <c r="G20" s="68"/>
    </row>
    <row r="21" spans="1:7" ht="15" x14ac:dyDescent="0.3">
      <c r="A21" s="80">
        <v>1989</v>
      </c>
      <c r="B21" s="98">
        <f>'Extreme data'!D36</f>
        <v>20</v>
      </c>
      <c r="C21" s="82">
        <f t="shared" si="1"/>
        <v>1.3010299956639813</v>
      </c>
      <c r="F21" s="52"/>
      <c r="G21" s="68"/>
    </row>
    <row r="22" spans="1:7" ht="15" x14ac:dyDescent="0.3">
      <c r="A22" s="80">
        <v>1990</v>
      </c>
      <c r="B22" s="98">
        <f>'Extreme data'!D37</f>
        <v>31.6</v>
      </c>
      <c r="C22" s="82">
        <f t="shared" si="1"/>
        <v>1.4996870826184039</v>
      </c>
      <c r="F22" s="52"/>
      <c r="G22" s="68"/>
    </row>
    <row r="23" spans="1:7" ht="15" x14ac:dyDescent="0.3">
      <c r="A23" s="80">
        <v>1991</v>
      </c>
      <c r="B23" s="98">
        <f>'Extreme data'!D38</f>
        <v>32.799999999999997</v>
      </c>
      <c r="C23" s="82">
        <f t="shared" si="1"/>
        <v>1.515873843711679</v>
      </c>
      <c r="F23" s="52"/>
      <c r="G23" s="68"/>
    </row>
    <row r="24" spans="1:7" ht="15" x14ac:dyDescent="0.3">
      <c r="A24" s="80">
        <v>1994</v>
      </c>
      <c r="B24" s="98">
        <f>'Extreme data'!D41</f>
        <v>44.5</v>
      </c>
      <c r="C24" s="82">
        <f t="shared" si="1"/>
        <v>1.6483600109809315</v>
      </c>
      <c r="F24" s="52"/>
      <c r="G24" s="68"/>
    </row>
    <row r="25" spans="1:7" ht="15" x14ac:dyDescent="0.3">
      <c r="A25" s="80">
        <v>1995</v>
      </c>
      <c r="B25" s="98">
        <f>'Extreme data'!D42</f>
        <v>45.2</v>
      </c>
      <c r="C25" s="82">
        <f t="shared" si="1"/>
        <v>1.6551384348113822</v>
      </c>
      <c r="F25" s="52"/>
      <c r="G25" s="68"/>
    </row>
    <row r="26" spans="1:7" ht="15" x14ac:dyDescent="0.3">
      <c r="A26" s="80">
        <v>1996</v>
      </c>
      <c r="B26" s="98">
        <f>'Extreme data'!D43</f>
        <v>50</v>
      </c>
      <c r="C26" s="82">
        <f t="shared" si="1"/>
        <v>1.6989700043360187</v>
      </c>
      <c r="F26" s="52"/>
      <c r="G26" s="68"/>
    </row>
    <row r="27" spans="1:7" ht="15" x14ac:dyDescent="0.3">
      <c r="A27" s="80">
        <v>1997</v>
      </c>
      <c r="B27" s="98">
        <f>'Extreme data'!D44</f>
        <v>48.7</v>
      </c>
      <c r="C27" s="82">
        <f t="shared" si="1"/>
        <v>1.6875289612146342</v>
      </c>
      <c r="F27" s="52"/>
      <c r="G27" s="68"/>
    </row>
    <row r="28" spans="1:7" ht="15" x14ac:dyDescent="0.3">
      <c r="A28" s="80">
        <v>1998</v>
      </c>
      <c r="B28" s="98">
        <f>'Extreme data'!D45</f>
        <v>57.8</v>
      </c>
      <c r="C28" s="82">
        <f t="shared" si="1"/>
        <v>1.761927838420529</v>
      </c>
      <c r="F28" s="54"/>
      <c r="G28" s="68"/>
    </row>
    <row r="29" spans="1:7" ht="15" x14ac:dyDescent="0.3">
      <c r="A29" s="80">
        <v>1999</v>
      </c>
      <c r="B29" s="98">
        <f>'Extreme data'!D46</f>
        <v>41</v>
      </c>
      <c r="C29" s="82">
        <f t="shared" si="1"/>
        <v>1.6127838567197355</v>
      </c>
      <c r="F29" s="54"/>
      <c r="G29" s="68"/>
    </row>
    <row r="30" spans="1:7" ht="15" x14ac:dyDescent="0.3">
      <c r="A30" s="80">
        <v>2000</v>
      </c>
      <c r="B30" s="98">
        <f>'Extreme data'!D47</f>
        <v>33.200000000000003</v>
      </c>
      <c r="C30" s="82">
        <f t="shared" si="1"/>
        <v>1.5211380837040362</v>
      </c>
      <c r="F30" s="54"/>
      <c r="G30" s="68"/>
    </row>
    <row r="31" spans="1:7" ht="15" x14ac:dyDescent="0.3">
      <c r="A31" s="80">
        <v>2001</v>
      </c>
      <c r="B31" s="98">
        <f>'Extreme data'!D48</f>
        <v>40.4</v>
      </c>
      <c r="C31" s="82">
        <f t="shared" si="1"/>
        <v>1.6063813651106049</v>
      </c>
      <c r="F31" s="54"/>
      <c r="G31" s="68"/>
    </row>
    <row r="32" spans="1:7" ht="15" x14ac:dyDescent="0.3">
      <c r="A32" s="80">
        <v>2002</v>
      </c>
      <c r="B32" s="98">
        <f>'Extreme data'!D49</f>
        <v>48.7</v>
      </c>
      <c r="C32" s="82">
        <f t="shared" si="1"/>
        <v>1.6875289612146342</v>
      </c>
      <c r="F32" s="54"/>
      <c r="G32" s="68"/>
    </row>
    <row r="33" spans="1:7" ht="15" x14ac:dyDescent="0.3">
      <c r="A33" s="80">
        <v>2003</v>
      </c>
      <c r="B33" s="98">
        <f>'Extreme data'!D50</f>
        <v>20.6</v>
      </c>
      <c r="C33" s="82">
        <f t="shared" si="1"/>
        <v>1.3138672203691535</v>
      </c>
      <c r="F33" s="54"/>
      <c r="G33" s="68"/>
    </row>
    <row r="34" spans="1:7" ht="15" x14ac:dyDescent="0.3">
      <c r="A34" s="80">
        <v>2004</v>
      </c>
      <c r="B34" s="98">
        <f>'Extreme data'!D51</f>
        <v>57.1</v>
      </c>
      <c r="C34" s="82">
        <f t="shared" si="1"/>
        <v>1.7566361082458481</v>
      </c>
      <c r="F34" s="54"/>
      <c r="G34" s="68"/>
    </row>
    <row r="35" spans="1:7" ht="15" x14ac:dyDescent="0.3">
      <c r="A35" s="80">
        <v>2005</v>
      </c>
      <c r="B35" s="98">
        <f>'Extreme data'!D52</f>
        <v>26.6</v>
      </c>
      <c r="C35" s="82">
        <f t="shared" si="1"/>
        <v>1.424881636631067</v>
      </c>
      <c r="F35" s="54"/>
      <c r="G35" s="68"/>
    </row>
    <row r="36" spans="1:7" ht="15" x14ac:dyDescent="0.3">
      <c r="A36" s="80">
        <v>2006</v>
      </c>
      <c r="B36" s="98">
        <f>'Extreme data'!D53</f>
        <v>32</v>
      </c>
      <c r="C36" s="82">
        <f t="shared" si="1"/>
        <v>1.505149978319906</v>
      </c>
      <c r="F36" s="54"/>
      <c r="G36" s="68"/>
    </row>
    <row r="37" spans="1:7" ht="15" x14ac:dyDescent="0.3">
      <c r="A37" s="80">
        <v>2007</v>
      </c>
      <c r="B37" s="98">
        <f>'Extreme data'!D54</f>
        <v>61.3</v>
      </c>
      <c r="C37" s="82">
        <f t="shared" si="1"/>
        <v>1.7874604745184151</v>
      </c>
      <c r="F37" s="54"/>
      <c r="G37" s="68"/>
    </row>
    <row r="38" spans="1:7" ht="15" x14ac:dyDescent="0.3">
      <c r="A38" s="80">
        <v>2008</v>
      </c>
      <c r="B38" s="98">
        <f>'Extreme data'!D55</f>
        <v>48.8</v>
      </c>
      <c r="C38" s="82">
        <f t="shared" si="1"/>
        <v>1.6884198220027107</v>
      </c>
      <c r="F38" s="54"/>
      <c r="G38" s="68"/>
    </row>
    <row r="39" spans="1:7" ht="15" x14ac:dyDescent="0.3">
      <c r="A39" s="80">
        <v>2009</v>
      </c>
      <c r="B39" s="98">
        <f>'Extreme data'!D56</f>
        <v>56.4</v>
      </c>
      <c r="C39" s="82">
        <f t="shared" si="1"/>
        <v>1.7512791039833422</v>
      </c>
      <c r="F39" s="54"/>
      <c r="G39" s="68"/>
    </row>
    <row r="40" spans="1:7" ht="15" x14ac:dyDescent="0.3">
      <c r="A40" s="80">
        <v>2010</v>
      </c>
      <c r="B40" s="98">
        <f>'Extreme data'!D57</f>
        <v>20</v>
      </c>
      <c r="C40" s="82">
        <f t="shared" si="1"/>
        <v>1.3010299956639813</v>
      </c>
      <c r="F40" s="54"/>
      <c r="G40" s="68"/>
    </row>
    <row r="41" spans="1:7" ht="15" x14ac:dyDescent="0.3">
      <c r="A41" s="80">
        <v>2011</v>
      </c>
      <c r="B41" s="98">
        <f>'Extreme data'!D58</f>
        <v>61.4</v>
      </c>
      <c r="C41" s="82">
        <f t="shared" si="1"/>
        <v>1.7881683711411678</v>
      </c>
      <c r="F41" s="54"/>
      <c r="G41" s="68"/>
    </row>
    <row r="42" spans="1:7" ht="15" x14ac:dyDescent="0.3">
      <c r="A42" s="80">
        <v>2012</v>
      </c>
      <c r="B42" s="98">
        <f>'Extreme data'!D59</f>
        <v>59</v>
      </c>
      <c r="C42" s="82">
        <f t="shared" si="1"/>
        <v>1.7708520116421442</v>
      </c>
      <c r="F42" s="54"/>
      <c r="G42" s="68"/>
    </row>
    <row r="43" spans="1:7" ht="15" x14ac:dyDescent="0.3">
      <c r="A43" s="80">
        <v>2013</v>
      </c>
      <c r="B43" s="98">
        <f>'Extreme data'!D60</f>
        <v>32</v>
      </c>
      <c r="C43" s="82">
        <f t="shared" si="1"/>
        <v>1.505149978319906</v>
      </c>
      <c r="F43" s="54"/>
      <c r="G43" s="68"/>
    </row>
    <row r="44" spans="1:7" ht="15" x14ac:dyDescent="0.3">
      <c r="A44" s="80">
        <v>2014</v>
      </c>
      <c r="B44" s="98">
        <f>'Extreme data'!D61</f>
        <v>18.399999999999999</v>
      </c>
      <c r="C44" s="82">
        <f t="shared" si="1"/>
        <v>1.2648178230095364</v>
      </c>
      <c r="F44" s="54"/>
      <c r="G44" s="68"/>
    </row>
    <row r="45" spans="1:7" ht="15" x14ac:dyDescent="0.3">
      <c r="A45" s="80">
        <v>2015</v>
      </c>
      <c r="B45" s="98">
        <f>'Extreme data'!D62</f>
        <v>56</v>
      </c>
      <c r="C45" s="82">
        <f t="shared" si="1"/>
        <v>1.7481880270062005</v>
      </c>
      <c r="F45" s="54"/>
      <c r="G45" s="68"/>
    </row>
    <row r="46" spans="1:7" ht="15" x14ac:dyDescent="0.3">
      <c r="A46" s="96"/>
      <c r="B46" s="96"/>
      <c r="C46" s="96"/>
      <c r="F46" s="54"/>
      <c r="G46" s="68"/>
    </row>
    <row r="47" spans="1:7" x14ac:dyDescent="0.3">
      <c r="A47" s="69"/>
      <c r="B47" s="70"/>
      <c r="C47" s="70"/>
      <c r="G47" s="71"/>
    </row>
    <row r="48" spans="1:7" x14ac:dyDescent="0.3">
      <c r="A48" s="69"/>
      <c r="B48" s="70"/>
      <c r="C48" s="70"/>
      <c r="G48" s="71"/>
    </row>
    <row r="49" spans="1:17" x14ac:dyDescent="0.3">
      <c r="A49" s="69"/>
      <c r="B49" s="70"/>
      <c r="C49" s="70"/>
      <c r="G49" s="71"/>
    </row>
    <row r="50" spans="1:17" x14ac:dyDescent="0.3">
      <c r="A50" s="69"/>
      <c r="B50" s="70"/>
      <c r="C50" s="70"/>
      <c r="G50" s="71"/>
    </row>
    <row r="51" spans="1:17" x14ac:dyDescent="0.3">
      <c r="A51" s="69"/>
      <c r="B51" s="70"/>
      <c r="C51" s="70"/>
      <c r="G51" s="71"/>
    </row>
    <row r="52" spans="1:17" x14ac:dyDescent="0.3">
      <c r="A52" s="69"/>
      <c r="B52" s="70"/>
      <c r="C52" s="70"/>
      <c r="G52" s="71"/>
    </row>
    <row r="53" spans="1:17" x14ac:dyDescent="0.3">
      <c r="B53" s="70"/>
      <c r="C53" s="70"/>
    </row>
    <row r="54" spans="1:17" ht="15" x14ac:dyDescent="0.3">
      <c r="A54" s="361" t="s">
        <v>19</v>
      </c>
      <c r="B54" s="361"/>
      <c r="C54" s="361"/>
      <c r="D54" s="28"/>
      <c r="E54" s="28"/>
      <c r="F54" s="28"/>
      <c r="G54" s="35"/>
      <c r="H54" s="28"/>
      <c r="I54" s="28"/>
      <c r="J54" s="28"/>
      <c r="K54" s="28"/>
      <c r="L54" s="28"/>
    </row>
    <row r="55" spans="1:17" ht="16.5" x14ac:dyDescent="0.35">
      <c r="A55" s="36" t="s">
        <v>20</v>
      </c>
      <c r="B55" s="37">
        <f>AVERAGE($B$12:$B$45)</f>
        <v>45.576470588235296</v>
      </c>
      <c r="C55" s="37">
        <f>AVERAGE($C$12:$C$45)</f>
        <v>1.6291792455860203</v>
      </c>
      <c r="D55" s="36" t="s">
        <v>52</v>
      </c>
      <c r="E55" s="28"/>
      <c r="F55" s="28"/>
      <c r="G55" s="38"/>
      <c r="H55" s="28"/>
      <c r="I55" s="39"/>
      <c r="J55" s="39"/>
      <c r="K55" s="28"/>
      <c r="L55" s="28"/>
    </row>
    <row r="56" spans="1:17" ht="15" x14ac:dyDescent="0.3">
      <c r="A56" s="36" t="s">
        <v>21</v>
      </c>
      <c r="B56" s="37">
        <f>STDEV($B$12:$B$45)</f>
        <v>16.071168591395221</v>
      </c>
      <c r="C56" s="37">
        <f>STDEV($C$12:$C$45)</f>
        <v>0.16949921850255537</v>
      </c>
      <c r="D56" s="36" t="s">
        <v>22</v>
      </c>
      <c r="E56" s="28"/>
      <c r="F56" s="28"/>
      <c r="G56" s="28"/>
      <c r="H56" s="28"/>
      <c r="I56" s="39"/>
      <c r="J56" s="39"/>
      <c r="K56" s="28"/>
      <c r="L56" s="28"/>
    </row>
    <row r="57" spans="1:17" ht="16.5" x14ac:dyDescent="0.35">
      <c r="A57" s="36" t="s">
        <v>23</v>
      </c>
      <c r="B57" s="37">
        <f>SKEW($B$12:$B$45)</f>
        <v>0.21341013353162433</v>
      </c>
      <c r="C57" s="37">
        <f>SKEW($C$12:$C$45)</f>
        <v>-0.6324406688580142</v>
      </c>
      <c r="D57" s="36" t="s">
        <v>53</v>
      </c>
      <c r="E57" s="28"/>
      <c r="F57" s="28"/>
      <c r="G57" s="28"/>
      <c r="H57" s="28"/>
      <c r="I57" s="39"/>
      <c r="J57" s="39"/>
      <c r="K57" s="28"/>
      <c r="L57" s="28"/>
    </row>
    <row r="58" spans="1:17" ht="15" x14ac:dyDescent="0.3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7" ht="13.5" customHeight="1" x14ac:dyDescent="0.3">
      <c r="A59" s="361" t="s">
        <v>24</v>
      </c>
      <c r="B59" s="361"/>
      <c r="C59" s="361"/>
      <c r="D59" s="361"/>
      <c r="E59" s="361"/>
      <c r="F59" s="361"/>
      <c r="G59" s="361"/>
      <c r="H59" s="361"/>
      <c r="I59" s="361"/>
      <c r="J59" s="361"/>
      <c r="K59" s="361"/>
    </row>
    <row r="60" spans="1:17" ht="13.5" customHeight="1" x14ac:dyDescent="0.3">
      <c r="A60" s="371" t="s">
        <v>245</v>
      </c>
      <c r="B60" s="371"/>
      <c r="C60" s="371"/>
      <c r="D60" s="371"/>
      <c r="E60" s="371"/>
      <c r="F60" s="371"/>
      <c r="G60" s="371"/>
      <c r="H60" s="371"/>
      <c r="I60" s="371"/>
      <c r="J60" s="371"/>
      <c r="K60" s="372"/>
      <c r="L60" s="83"/>
    </row>
    <row r="61" spans="1:17" ht="15" x14ac:dyDescent="0.3">
      <c r="A61" s="364" t="s">
        <v>25</v>
      </c>
      <c r="B61" s="365" t="s">
        <v>26</v>
      </c>
      <c r="C61" s="365"/>
      <c r="D61" s="370" t="s">
        <v>8</v>
      </c>
      <c r="E61" s="370"/>
      <c r="F61" s="370"/>
      <c r="G61" s="370" t="s">
        <v>27</v>
      </c>
      <c r="H61" s="370"/>
      <c r="I61" s="370"/>
      <c r="J61" s="370" t="s">
        <v>7</v>
      </c>
      <c r="K61" s="370"/>
      <c r="L61" s="83"/>
    </row>
    <row r="62" spans="1:17" ht="16.5" x14ac:dyDescent="0.35">
      <c r="A62" s="364"/>
      <c r="B62" s="41" t="s">
        <v>28</v>
      </c>
      <c r="C62" s="41" t="s">
        <v>29</v>
      </c>
      <c r="D62" s="41" t="s">
        <v>30</v>
      </c>
      <c r="E62" s="41" t="s">
        <v>54</v>
      </c>
      <c r="F62" s="41" t="s">
        <v>31</v>
      </c>
      <c r="G62" s="41" t="s">
        <v>55</v>
      </c>
      <c r="H62" s="41" t="s">
        <v>54</v>
      </c>
      <c r="I62" s="41" t="s">
        <v>31</v>
      </c>
      <c r="J62" s="41" t="s">
        <v>32</v>
      </c>
      <c r="K62" s="41" t="s">
        <v>33</v>
      </c>
      <c r="L62" s="84"/>
    </row>
    <row r="63" spans="1:17" ht="15" x14ac:dyDescent="0.3">
      <c r="A63" s="62">
        <v>1</v>
      </c>
      <c r="B63" s="42">
        <f>1/A63</f>
        <v>1</v>
      </c>
      <c r="C63" s="42">
        <f>SQRT(LN(1/B63^2))</f>
        <v>0</v>
      </c>
      <c r="D63" s="42">
        <f t="shared" ref="D63:D75" si="2">C63-((2.51557+0.80285*C63+0.010328*C63^2)/(1+1.432788*C63+0.189269*C63^2+0.001308*C63^3))</f>
        <v>-2.5155699999999999</v>
      </c>
      <c r="E63" s="42">
        <f>$C$55+D63*$C$56</f>
        <v>1.2027920964975471</v>
      </c>
      <c r="F63" s="43">
        <f>(10)^E63</f>
        <v>15.951153579774674</v>
      </c>
      <c r="G63" s="42">
        <f>D63+(D63^2-1)*($C$57/6)+((D63^3-6*D63)*($C$57/6)^2)/3-(D63^2-1)*($C$57/6)^3+D63*($C$57/6)^4+1/3*($C$57/6)^5</f>
        <v>-3.0743187014096787</v>
      </c>
      <c r="H63" s="42">
        <f>$C$55+G63*$C$56</f>
        <v>1.1080846282692889</v>
      </c>
      <c r="I63" s="43">
        <f>(10)^H63</f>
        <v>12.825804868029152</v>
      </c>
      <c r="J63" s="44"/>
      <c r="K63" s="43"/>
      <c r="Q63" s="84"/>
    </row>
    <row r="64" spans="1:17" ht="15" x14ac:dyDescent="0.3">
      <c r="A64" s="41">
        <v>2</v>
      </c>
      <c r="B64" s="42">
        <f>1/A64</f>
        <v>0.5</v>
      </c>
      <c r="C64" s="42">
        <f>SQRT(LN(1/B64^2))</f>
        <v>1.1774100225154747</v>
      </c>
      <c r="D64" s="42">
        <f t="shared" si="2"/>
        <v>-1.6861240179411041E-5</v>
      </c>
      <c r="E64" s="42">
        <f>$C$55+D64*$C$56</f>
        <v>1.6291763876189869</v>
      </c>
      <c r="F64" s="43">
        <f>(10)^E64</f>
        <v>42.577130397333633</v>
      </c>
      <c r="G64" s="42">
        <f>D64+(D64^2-1)*($C$57/6)+((D64^3-6*D64)*($C$57/6)^2)/3-(D64^2-1)*($C$57/6)^3+D64*($C$57/6)^4+1/3*($C$57/6)^5</f>
        <v>0.1042148207716613</v>
      </c>
      <c r="H64" s="42">
        <f>$C$55+G64*$C$56</f>
        <v>1.6468435762632008</v>
      </c>
      <c r="I64" s="43">
        <f>(10)^H64</f>
        <v>44.344889420037198</v>
      </c>
      <c r="J64" s="44">
        <f t="shared" ref="J64:J75" si="3">-LN(LN(A64/(A64-1)))</f>
        <v>0.36651292058166435</v>
      </c>
      <c r="K64" s="43">
        <f t="shared" ref="K64:K75" si="4">B$55-(0.577*SQRT(6)*B$56/PI())+(SQRT(6)*B$56/PI())*J64</f>
        <v>42.938933036017502</v>
      </c>
      <c r="Q64" s="84"/>
    </row>
    <row r="65" spans="1:17" ht="15" x14ac:dyDescent="0.3">
      <c r="A65" s="41">
        <v>2.33</v>
      </c>
      <c r="B65" s="42">
        <f>1/A65</f>
        <v>0.42918454935622319</v>
      </c>
      <c r="C65" s="42">
        <f>SQRT(LN(1/B65^2))</f>
        <v>1.3006677266524369</v>
      </c>
      <c r="D65" s="42">
        <f t="shared" si="2"/>
        <v>0.17808428211113303</v>
      </c>
      <c r="E65" s="42">
        <f>$C$55+D65*$C$56</f>
        <v>1.6593643922314461</v>
      </c>
      <c r="F65" s="43">
        <f>(10)^E65</f>
        <v>45.641971161295515</v>
      </c>
      <c r="G65" s="42">
        <f>D65+(D65^2-1)*($C$57/6)+((D65^3-6*D65)*($C$57/6)^2)/3-(D65^2-1)*($C$57/6)^3+D65*($C$57/6)^4+1/3*($C$57/6)^5</f>
        <v>0.27509551888452871</v>
      </c>
      <c r="H65" s="42">
        <f>$C$55+G65*$C$56</f>
        <v>1.6758077210505029</v>
      </c>
      <c r="I65" s="43">
        <f>(10)^H65</f>
        <v>47.403206648033475</v>
      </c>
      <c r="J65" s="44">
        <f t="shared" si="3"/>
        <v>0.57858831412193601</v>
      </c>
      <c r="K65" s="43">
        <f t="shared" si="4"/>
        <v>45.59637317870736</v>
      </c>
      <c r="Q65" s="84"/>
    </row>
    <row r="66" spans="1:17" ht="15" x14ac:dyDescent="0.3">
      <c r="A66" s="41">
        <v>5</v>
      </c>
      <c r="B66" s="42">
        <f>1/A66</f>
        <v>0.2</v>
      </c>
      <c r="C66" s="42">
        <f>SQRT(LN(1/B66^2))</f>
        <v>1.7941225779941015</v>
      </c>
      <c r="D66" s="42">
        <f t="shared" si="2"/>
        <v>0.84144534566621687</v>
      </c>
      <c r="E66" s="42">
        <f>$C$55+D66*$C$56</f>
        <v>1.7718035740890568</v>
      </c>
      <c r="F66" s="43">
        <f>(10)^E66</f>
        <v>59.129413881409512</v>
      </c>
      <c r="G66" s="42">
        <f t="shared" ref="G66:G74" si="5">D66+(D66^2-1)*($C$57/6)+((D66^3-6*D66)*($C$57/6)^2)/3-(D66^2-1)*($C$57/6)^3+D66*($C$57/6)^4+1/3*($C$57/6)^5</f>
        <v>0.85548707510240374</v>
      </c>
      <c r="H66" s="42">
        <f>$C$55+G66*$C$56</f>
        <v>1.7741836362549146</v>
      </c>
      <c r="I66" s="43">
        <f>(10)^H66</f>
        <v>59.4543501119458</v>
      </c>
      <c r="J66" s="44">
        <f t="shared" si="3"/>
        <v>1.4999399867595156</v>
      </c>
      <c r="K66" s="43">
        <f t="shared" si="4"/>
        <v>57.141498143601538</v>
      </c>
      <c r="Q66" s="84"/>
    </row>
    <row r="67" spans="1:17" ht="15" x14ac:dyDescent="0.3">
      <c r="A67" s="41">
        <v>10</v>
      </c>
      <c r="B67" s="42">
        <f>1/A67</f>
        <v>0.1</v>
      </c>
      <c r="C67" s="42">
        <f>SQRT(LN(1/B67^2))</f>
        <v>2.1459660262893472</v>
      </c>
      <c r="D67" s="42">
        <f t="shared" si="2"/>
        <v>1.2817193675751226</v>
      </c>
      <c r="E67" s="42">
        <f>$C$55+D67*$C$56</f>
        <v>1.8464296767295931</v>
      </c>
      <c r="F67" s="43">
        <f>(10)^E67</f>
        <v>70.214963872933595</v>
      </c>
      <c r="G67" s="42">
        <f t="shared" si="5"/>
        <v>1.1941869970415491</v>
      </c>
      <c r="H67" s="42">
        <f>$C$55+G67*$C$56</f>
        <v>1.8315930083304763</v>
      </c>
      <c r="I67" s="43">
        <f>(10)^H67</f>
        <v>67.856742666381422</v>
      </c>
      <c r="J67" s="44">
        <f t="shared" si="3"/>
        <v>2.2503673273124449</v>
      </c>
      <c r="K67" s="43">
        <f t="shared" si="4"/>
        <v>66.544832050788926</v>
      </c>
      <c r="Q67" s="84"/>
    </row>
    <row r="68" spans="1:17" ht="15" x14ac:dyDescent="0.3">
      <c r="A68" s="41">
        <v>20</v>
      </c>
      <c r="B68" s="42">
        <f t="shared" ref="B68:B75" si="6">1/A68</f>
        <v>0.05</v>
      </c>
      <c r="C68" s="42">
        <f t="shared" ref="C68:C75" si="7">SQRT(LN(1/B68^2))</f>
        <v>2.4477468306808166</v>
      </c>
      <c r="D68" s="42">
        <f t="shared" si="2"/>
        <v>1.6452033739823797</v>
      </c>
      <c r="E68" s="42">
        <f t="shared" ref="E68:E75" si="8">$C$55+D68*$C$56</f>
        <v>1.908039931753801</v>
      </c>
      <c r="F68" s="43">
        <f t="shared" ref="F68:F75" si="9">(10)^E68</f>
        <v>80.917029594133382</v>
      </c>
      <c r="G68" s="42">
        <f t="shared" si="5"/>
        <v>1.4474374530622089</v>
      </c>
      <c r="H68" s="42">
        <f t="shared" ref="H68:H74" si="10">$C$55+G68*$C$56</f>
        <v>1.8745187627113939</v>
      </c>
      <c r="I68" s="43">
        <f t="shared" ref="I68:I74" si="11">(10)^H68</f>
        <v>74.906371941649638</v>
      </c>
      <c r="J68" s="44">
        <f t="shared" si="3"/>
        <v>2.9701952490421655</v>
      </c>
      <c r="K68" s="43">
        <f t="shared" si="4"/>
        <v>75.564735694963105</v>
      </c>
      <c r="Q68" s="84"/>
    </row>
    <row r="69" spans="1:17" ht="15" x14ac:dyDescent="0.3">
      <c r="A69" s="41">
        <v>50</v>
      </c>
      <c r="B69" s="42">
        <f t="shared" si="6"/>
        <v>0.02</v>
      </c>
      <c r="C69" s="42">
        <f t="shared" si="7"/>
        <v>2.7971496225365371</v>
      </c>
      <c r="D69" s="42">
        <f t="shared" si="2"/>
        <v>2.0541817439773808</v>
      </c>
      <c r="E69" s="42">
        <f t="shared" si="8"/>
        <v>1.9773614458524027</v>
      </c>
      <c r="F69" s="43">
        <f t="shared" si="9"/>
        <v>94.920812244672803</v>
      </c>
      <c r="G69" s="42">
        <f t="shared" si="5"/>
        <v>1.7052830547305815</v>
      </c>
      <c r="H69" s="42">
        <f t="shared" si="10"/>
        <v>1.9182233906885042</v>
      </c>
      <c r="I69" s="43">
        <f t="shared" si="11"/>
        <v>82.836814689646829</v>
      </c>
      <c r="J69" s="44">
        <f t="shared" si="3"/>
        <v>3.9019386579358333</v>
      </c>
      <c r="K69" s="43">
        <f t="shared" si="4"/>
        <v>87.240075752792762</v>
      </c>
      <c r="Q69" s="84"/>
    </row>
    <row r="70" spans="1:17" ht="15" x14ac:dyDescent="0.3">
      <c r="A70" s="45">
        <v>100</v>
      </c>
      <c r="B70" s="46">
        <f t="shared" si="6"/>
        <v>0.01</v>
      </c>
      <c r="C70" s="46">
        <f t="shared" si="7"/>
        <v>3.0348542587702929</v>
      </c>
      <c r="D70" s="46">
        <f t="shared" si="2"/>
        <v>2.3267791744716506</v>
      </c>
      <c r="E70" s="46">
        <f t="shared" si="8"/>
        <v>2.023566497286986</v>
      </c>
      <c r="F70" s="47">
        <f t="shared" si="9"/>
        <v>105.57631447132336</v>
      </c>
      <c r="G70" s="46">
        <f t="shared" si="5"/>
        <v>1.8619256217604949</v>
      </c>
      <c r="H70" s="46">
        <f t="shared" si="10"/>
        <v>1.9447741833843089</v>
      </c>
      <c r="I70" s="47">
        <f>(10)^H70</f>
        <v>88.059088017740635</v>
      </c>
      <c r="J70" s="48">
        <f t="shared" si="3"/>
        <v>4.6001492267765736</v>
      </c>
      <c r="K70" s="47">
        <f t="shared" si="4"/>
        <v>95.98910015733955</v>
      </c>
      <c r="Q70" s="84"/>
    </row>
    <row r="71" spans="1:17" ht="15" x14ac:dyDescent="0.3">
      <c r="A71" s="41">
        <v>200</v>
      </c>
      <c r="B71" s="42">
        <f t="shared" si="6"/>
        <v>5.0000000000000001E-3</v>
      </c>
      <c r="C71" s="42">
        <f t="shared" si="7"/>
        <v>3.2552472614374586</v>
      </c>
      <c r="D71" s="42">
        <f t="shared" si="2"/>
        <v>2.5762304772515181</v>
      </c>
      <c r="E71" s="42">
        <f t="shared" si="8"/>
        <v>2.0658482981626181</v>
      </c>
      <c r="F71" s="43">
        <f t="shared" si="9"/>
        <v>116.37194637625507</v>
      </c>
      <c r="G71" s="42">
        <f t="shared" si="5"/>
        <v>1.9950489913042988</v>
      </c>
      <c r="H71" s="42">
        <f t="shared" si="10"/>
        <v>1.9673384904864104</v>
      </c>
      <c r="I71" s="43">
        <f t="shared" si="11"/>
        <v>92.755247904493885</v>
      </c>
      <c r="J71" s="44">
        <f t="shared" si="3"/>
        <v>5.295812142535044</v>
      </c>
      <c r="K71" s="43">
        <f t="shared" si="4"/>
        <v>104.70620084147045</v>
      </c>
      <c r="Q71" s="84"/>
    </row>
    <row r="72" spans="1:17" ht="15" x14ac:dyDescent="0.3">
      <c r="A72" s="41">
        <v>500</v>
      </c>
      <c r="B72" s="42">
        <f t="shared" si="6"/>
        <v>2E-3</v>
      </c>
      <c r="C72" s="42">
        <f t="shared" si="7"/>
        <v>3.5255093528232742</v>
      </c>
      <c r="D72" s="42">
        <f t="shared" si="2"/>
        <v>2.8785010937925581</v>
      </c>
      <c r="E72" s="42">
        <f t="shared" si="8"/>
        <v>2.1170829314426096</v>
      </c>
      <c r="F72" s="43">
        <f t="shared" si="9"/>
        <v>130.94319439345239</v>
      </c>
      <c r="G72" s="42">
        <f t="shared" si="5"/>
        <v>2.1437829932478185</v>
      </c>
      <c r="H72" s="42">
        <f t="shared" si="10"/>
        <v>1.9925487875805945</v>
      </c>
      <c r="I72" s="43">
        <f t="shared" si="11"/>
        <v>98.298929341233631</v>
      </c>
      <c r="J72" s="44">
        <f t="shared" si="3"/>
        <v>6.213607264087516</v>
      </c>
      <c r="K72" s="43">
        <f t="shared" si="4"/>
        <v>116.20675994954684</v>
      </c>
      <c r="Q72" s="84"/>
    </row>
    <row r="73" spans="1:17" ht="15" x14ac:dyDescent="0.3">
      <c r="A73" s="41">
        <v>1000</v>
      </c>
      <c r="B73" s="42">
        <f t="shared" si="6"/>
        <v>1E-3</v>
      </c>
      <c r="C73" s="42">
        <f t="shared" si="7"/>
        <v>3.7169221888498383</v>
      </c>
      <c r="D73" s="42">
        <f t="shared" si="2"/>
        <v>3.090517579776618</v>
      </c>
      <c r="E73" s="42">
        <f t="shared" si="8"/>
        <v>2.153019560126566</v>
      </c>
      <c r="F73" s="43">
        <f t="shared" si="9"/>
        <v>142.23928486266499</v>
      </c>
      <c r="G73" s="42">
        <f t="shared" si="5"/>
        <v>2.2401921195384187</v>
      </c>
      <c r="H73" s="42">
        <f t="shared" si="10"/>
        <v>2.0088900591433654</v>
      </c>
      <c r="I73" s="43">
        <f t="shared" si="11"/>
        <v>102.06810674481247</v>
      </c>
      <c r="J73" s="44">
        <f t="shared" si="3"/>
        <v>6.907255070523628</v>
      </c>
      <c r="K73" s="43">
        <f t="shared" si="4"/>
        <v>124.89861002673202</v>
      </c>
      <c r="Q73" s="84"/>
    </row>
    <row r="74" spans="1:17" ht="15" x14ac:dyDescent="0.3">
      <c r="A74" s="41">
        <v>5000</v>
      </c>
      <c r="B74" s="42">
        <f t="shared" si="6"/>
        <v>2.0000000000000001E-4</v>
      </c>
      <c r="C74" s="42">
        <f t="shared" si="7"/>
        <v>4.1272734804992597</v>
      </c>
      <c r="D74" s="42">
        <f t="shared" si="2"/>
        <v>3.5402404913194201</v>
      </c>
      <c r="E74" s="42">
        <f t="shared" si="8"/>
        <v>2.2292472421757648</v>
      </c>
      <c r="F74" s="43">
        <f t="shared" si="9"/>
        <v>169.53026550489457</v>
      </c>
      <c r="G74" s="42">
        <f t="shared" si="5"/>
        <v>2.4241525606159238</v>
      </c>
      <c r="H74" s="42">
        <f t="shared" si="10"/>
        <v>2.040071210141388</v>
      </c>
      <c r="I74" s="43">
        <f t="shared" si="11"/>
        <v>109.66579975735466</v>
      </c>
      <c r="J74" s="44">
        <f t="shared" si="3"/>
        <v>8.5170931830821246</v>
      </c>
      <c r="K74" s="43">
        <f t="shared" si="4"/>
        <v>145.07090984959029</v>
      </c>
      <c r="Q74" s="84"/>
    </row>
    <row r="75" spans="1:17" ht="15" x14ac:dyDescent="0.3">
      <c r="A75" s="41">
        <v>10000</v>
      </c>
      <c r="B75" s="42">
        <f t="shared" si="6"/>
        <v>1E-4</v>
      </c>
      <c r="C75" s="42">
        <f t="shared" si="7"/>
        <v>4.2919320525786944</v>
      </c>
      <c r="D75" s="42">
        <f t="shared" si="2"/>
        <v>3.7191205599951926</v>
      </c>
      <c r="E75" s="42">
        <f t="shared" si="8"/>
        <v>2.2595672740219914</v>
      </c>
      <c r="F75" s="43">
        <f t="shared" si="9"/>
        <v>181.78886327982059</v>
      </c>
      <c r="G75" s="42">
        <f>D75+(D75^2-1)*($C$57/6)+((D75^3-6*D75)*($C$57/6)^2)/3-(D75^2-1)*($C$57/6)^3+D75*($C$57/6)^4+1/3*($C$57/6)^5</f>
        <v>2.4899133547357435</v>
      </c>
      <c r="H75" s="42">
        <f>$C$55+G75*$C$56</f>
        <v>2.0512176133528048</v>
      </c>
      <c r="I75" s="43">
        <f>(10)^H75</f>
        <v>112.51686246532758</v>
      </c>
      <c r="J75" s="44">
        <f t="shared" si="3"/>
        <v>9.2102903698935528</v>
      </c>
      <c r="K75" s="43">
        <f t="shared" si="4"/>
        <v>153.75711337504814</v>
      </c>
      <c r="Q75" s="84"/>
    </row>
    <row r="76" spans="1:17" x14ac:dyDescent="0.3">
      <c r="L76" s="72"/>
    </row>
    <row r="77" spans="1:17" x14ac:dyDescent="0.3">
      <c r="A77" s="362"/>
      <c r="B77" s="362"/>
      <c r="C77" s="362"/>
      <c r="D77" s="362"/>
      <c r="E77" s="362"/>
      <c r="F77" s="362"/>
      <c r="G77" s="362"/>
      <c r="H77" s="362"/>
      <c r="I77" s="362"/>
      <c r="J77" s="73"/>
      <c r="K77" s="73"/>
      <c r="L77" s="72"/>
    </row>
    <row r="78" spans="1:17" x14ac:dyDescent="0.3">
      <c r="L78" s="72"/>
    </row>
    <row r="79" spans="1:17" x14ac:dyDescent="0.3">
      <c r="L79" s="72"/>
    </row>
    <row r="81" spans="1:11" ht="13.5" hidden="1" customHeight="1" x14ac:dyDescent="0.3">
      <c r="A81" s="362"/>
      <c r="B81" s="362"/>
      <c r="C81" s="362"/>
      <c r="D81" s="362"/>
      <c r="E81" s="362"/>
      <c r="F81" s="362"/>
      <c r="G81" s="362"/>
      <c r="H81" s="362"/>
      <c r="I81" s="362"/>
      <c r="J81" s="73"/>
      <c r="K81" s="73"/>
    </row>
    <row r="82" spans="1:11" hidden="1" x14ac:dyDescent="0.3">
      <c r="A82" s="73"/>
      <c r="B82" s="73"/>
      <c r="C82" s="73"/>
      <c r="D82" s="73"/>
      <c r="E82" s="362"/>
      <c r="F82" s="362"/>
      <c r="G82" s="363"/>
      <c r="H82" s="363"/>
      <c r="I82" s="73"/>
      <c r="J82" s="73"/>
      <c r="K82" s="73"/>
    </row>
    <row r="83" spans="1:11" hidden="1" x14ac:dyDescent="0.3">
      <c r="E83" s="74"/>
      <c r="F83" s="74"/>
      <c r="G83" s="74"/>
    </row>
    <row r="84" spans="1:11" hidden="1" x14ac:dyDescent="0.3">
      <c r="E84" s="74"/>
      <c r="F84" s="74"/>
      <c r="G84" s="74"/>
    </row>
    <row r="85" spans="1:11" hidden="1" x14ac:dyDescent="0.3">
      <c r="E85" s="74"/>
      <c r="F85" s="74"/>
      <c r="G85" s="74"/>
    </row>
    <row r="86" spans="1:11" hidden="1" x14ac:dyDescent="0.3">
      <c r="E86" s="74"/>
      <c r="F86" s="74"/>
      <c r="G86" s="74"/>
    </row>
    <row r="87" spans="1:11" hidden="1" x14ac:dyDescent="0.3">
      <c r="E87" s="74"/>
      <c r="F87" s="74"/>
      <c r="G87" s="74"/>
    </row>
    <row r="88" spans="1:11" hidden="1" x14ac:dyDescent="0.3">
      <c r="E88" s="74"/>
      <c r="F88" s="74"/>
      <c r="G88" s="74"/>
    </row>
    <row r="93" spans="1:11" x14ac:dyDescent="0.3">
      <c r="G93" s="75"/>
    </row>
  </sheetData>
  <mergeCells count="13">
    <mergeCell ref="A77:I77"/>
    <mergeCell ref="A81:I81"/>
    <mergeCell ref="E82:F82"/>
    <mergeCell ref="G82:H82"/>
    <mergeCell ref="A9:C9"/>
    <mergeCell ref="A54:C54"/>
    <mergeCell ref="A59:K59"/>
    <mergeCell ref="A61:A62"/>
    <mergeCell ref="B61:C61"/>
    <mergeCell ref="D61:F61"/>
    <mergeCell ref="G61:I61"/>
    <mergeCell ref="J61:K61"/>
    <mergeCell ref="A60:K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P85"/>
  <sheetViews>
    <sheetView topLeftCell="A49" workbookViewId="0">
      <selection activeCell="I67" sqref="I67"/>
    </sheetView>
  </sheetViews>
  <sheetFormatPr defaultRowHeight="13.5" x14ac:dyDescent="0.3"/>
  <cols>
    <col min="1" max="1" width="10.7109375" style="29" customWidth="1"/>
    <col min="2" max="2" width="12.42578125" style="29" customWidth="1"/>
    <col min="3" max="3" width="10.28515625" style="29" customWidth="1"/>
    <col min="4" max="4" width="20.5703125" style="29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247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604.5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4" t="s">
        <v>248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61" t="s">
        <v>14</v>
      </c>
      <c r="B9" s="361"/>
      <c r="C9" s="361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1975</v>
      </c>
      <c r="B12" s="98">
        <f>'Extreme data'!E22</f>
        <v>2170</v>
      </c>
      <c r="C12" s="82">
        <f>IF(B12="","",LOG(B12))</f>
        <v>3.3364597338485296</v>
      </c>
    </row>
    <row r="13" spans="1:16" ht="15" x14ac:dyDescent="0.3">
      <c r="A13" s="80">
        <v>1976</v>
      </c>
      <c r="B13" s="98">
        <f>'Extreme data'!E23</f>
        <v>2580</v>
      </c>
      <c r="C13" s="82">
        <f>IF(B13="","",LOG(B13))</f>
        <v>3.4116197059632301</v>
      </c>
    </row>
    <row r="14" spans="1:16" ht="15" x14ac:dyDescent="0.3">
      <c r="A14" s="80">
        <v>1977</v>
      </c>
      <c r="B14" s="98">
        <f>'Extreme data'!E24</f>
        <v>2740</v>
      </c>
      <c r="C14" s="82">
        <f t="shared" ref="C14:C43" si="0">IF(B14="","",LOG(B14))</f>
        <v>3.4377505628203879</v>
      </c>
    </row>
    <row r="15" spans="1:16" ht="15" x14ac:dyDescent="0.3">
      <c r="A15" s="80">
        <v>1978</v>
      </c>
      <c r="B15" s="98">
        <f>'Extreme data'!E25</f>
        <v>2260</v>
      </c>
      <c r="C15" s="82">
        <f t="shared" si="0"/>
        <v>3.3541084391474008</v>
      </c>
    </row>
    <row r="16" spans="1:16" ht="15" x14ac:dyDescent="0.3">
      <c r="A16" s="80">
        <v>1979</v>
      </c>
      <c r="B16" s="98">
        <f>'Extreme data'!E26</f>
        <v>3710</v>
      </c>
      <c r="C16" s="82">
        <f t="shared" si="0"/>
        <v>3.5693739096150461</v>
      </c>
    </row>
    <row r="17" spans="1:7" ht="15" x14ac:dyDescent="0.3">
      <c r="A17" s="80">
        <v>1980</v>
      </c>
      <c r="B17" s="98">
        <f>'Extreme data'!E27</f>
        <v>3220</v>
      </c>
      <c r="C17" s="82">
        <f t="shared" si="0"/>
        <v>3.5078558716958308</v>
      </c>
    </row>
    <row r="18" spans="1:7" ht="15" x14ac:dyDescent="0.3">
      <c r="A18" s="80">
        <v>1981</v>
      </c>
      <c r="B18" s="98">
        <f>'Extreme data'!E28</f>
        <v>3400</v>
      </c>
      <c r="C18" s="82">
        <f t="shared" si="0"/>
        <v>3.5314789170422549</v>
      </c>
    </row>
    <row r="19" spans="1:7" ht="15" x14ac:dyDescent="0.3">
      <c r="A19" s="80">
        <v>1982</v>
      </c>
      <c r="B19" s="98">
        <f>'Extreme data'!E29</f>
        <v>3890</v>
      </c>
      <c r="C19" s="82">
        <f t="shared" si="0"/>
        <v>3.5899496013257077</v>
      </c>
    </row>
    <row r="20" spans="1:7" ht="15" x14ac:dyDescent="0.3">
      <c r="A20" s="80">
        <v>1983</v>
      </c>
      <c r="B20" s="98">
        <f>'Extreme data'!E30</f>
        <v>4280</v>
      </c>
      <c r="C20" s="82">
        <f t="shared" si="0"/>
        <v>3.6314437690131722</v>
      </c>
    </row>
    <row r="21" spans="1:7" ht="15" x14ac:dyDescent="0.3">
      <c r="A21" s="80">
        <v>1984</v>
      </c>
      <c r="B21" s="98">
        <f>'Extreme data'!E31</f>
        <v>2410</v>
      </c>
      <c r="C21" s="82">
        <f t="shared" si="0"/>
        <v>3.3820170425748683</v>
      </c>
    </row>
    <row r="22" spans="1:7" ht="15" x14ac:dyDescent="0.3">
      <c r="A22" s="80">
        <v>1985</v>
      </c>
      <c r="B22" s="98">
        <f>'Extreme data'!E32</f>
        <v>2480</v>
      </c>
      <c r="C22" s="82">
        <f t="shared" si="0"/>
        <v>3.3944516808262164</v>
      </c>
    </row>
    <row r="23" spans="1:7" ht="15" x14ac:dyDescent="0.3">
      <c r="A23" s="80">
        <v>1986</v>
      </c>
      <c r="B23" s="98">
        <f>'Extreme data'!E33</f>
        <v>1700</v>
      </c>
      <c r="C23" s="82">
        <f t="shared" si="0"/>
        <v>3.2304489213782741</v>
      </c>
    </row>
    <row r="24" spans="1:7" ht="15" x14ac:dyDescent="0.3">
      <c r="A24" s="80">
        <v>1987</v>
      </c>
      <c r="B24" s="98">
        <f>'Extreme data'!E34</f>
        <v>3550</v>
      </c>
      <c r="C24" s="82">
        <f t="shared" si="0"/>
        <v>3.5502283530550942</v>
      </c>
    </row>
    <row r="25" spans="1:7" ht="15" x14ac:dyDescent="0.3">
      <c r="A25" s="80">
        <v>1988</v>
      </c>
      <c r="B25" s="98">
        <f>'Extreme data'!E35</f>
        <v>2340</v>
      </c>
      <c r="C25" s="82">
        <f t="shared" si="0"/>
        <v>3.369215857410143</v>
      </c>
      <c r="F25" s="52"/>
      <c r="G25" s="68"/>
    </row>
    <row r="26" spans="1:7" ht="15" x14ac:dyDescent="0.3">
      <c r="A26" s="80">
        <v>1989</v>
      </c>
      <c r="B26" s="98">
        <f>'Extreme data'!E36</f>
        <v>2020</v>
      </c>
      <c r="C26" s="82">
        <f t="shared" si="0"/>
        <v>3.3053513694466239</v>
      </c>
      <c r="F26" s="52"/>
      <c r="G26" s="68"/>
    </row>
    <row r="27" spans="1:7" ht="15" x14ac:dyDescent="0.3">
      <c r="A27" s="80">
        <v>1990</v>
      </c>
      <c r="B27" s="98">
        <f>'Extreme data'!E37</f>
        <v>3280</v>
      </c>
      <c r="C27" s="82">
        <f t="shared" si="0"/>
        <v>3.5158738437116792</v>
      </c>
      <c r="F27" s="52"/>
      <c r="G27" s="68"/>
    </row>
    <row r="28" spans="1:7" ht="15" x14ac:dyDescent="0.3">
      <c r="A28" s="80">
        <v>1991</v>
      </c>
      <c r="B28" s="98">
        <f>'Extreme data'!E38</f>
        <v>2390</v>
      </c>
      <c r="C28" s="82">
        <f t="shared" si="0"/>
        <v>3.3783979009481375</v>
      </c>
      <c r="F28" s="52"/>
      <c r="G28" s="68"/>
    </row>
    <row r="29" spans="1:7" ht="15" x14ac:dyDescent="0.3">
      <c r="A29" s="80">
        <v>1992</v>
      </c>
      <c r="B29" s="98">
        <f>'Extreme data'!E39</f>
        <v>2100</v>
      </c>
      <c r="C29" s="82">
        <f t="shared" si="0"/>
        <v>3.3222192947339191</v>
      </c>
      <c r="F29" s="52"/>
      <c r="G29" s="68"/>
    </row>
    <row r="30" spans="1:7" ht="15" x14ac:dyDescent="0.3">
      <c r="A30" s="80">
        <v>1993</v>
      </c>
      <c r="B30" s="98">
        <f>'Extreme data'!E40</f>
        <v>5720</v>
      </c>
      <c r="C30" s="82">
        <f t="shared" si="0"/>
        <v>3.7573960287930244</v>
      </c>
      <c r="F30" s="52"/>
      <c r="G30" s="68"/>
    </row>
    <row r="31" spans="1:7" ht="15" x14ac:dyDescent="0.3">
      <c r="A31" s="80">
        <v>1994</v>
      </c>
      <c r="B31" s="98">
        <f>'Extreme data'!E41</f>
        <v>1400</v>
      </c>
      <c r="C31" s="82">
        <f t="shared" si="0"/>
        <v>3.1461280356782382</v>
      </c>
      <c r="F31" s="52"/>
      <c r="G31" s="68"/>
    </row>
    <row r="32" spans="1:7" ht="15" x14ac:dyDescent="0.3">
      <c r="A32" s="80">
        <v>1995</v>
      </c>
      <c r="B32" s="98">
        <f>'Extreme data'!E42</f>
        <v>2420</v>
      </c>
      <c r="C32" s="82">
        <f t="shared" si="0"/>
        <v>3.3838153659804311</v>
      </c>
      <c r="F32" s="52"/>
      <c r="G32" s="68"/>
    </row>
    <row r="33" spans="1:12" ht="15" x14ac:dyDescent="0.3">
      <c r="A33" s="80">
        <v>1996</v>
      </c>
      <c r="B33" s="98">
        <f>'Extreme data'!E43</f>
        <v>3700</v>
      </c>
      <c r="C33" s="82">
        <f t="shared" si="0"/>
        <v>3.568201724066995</v>
      </c>
      <c r="F33" s="52"/>
      <c r="G33" s="68"/>
    </row>
    <row r="34" spans="1:12" ht="15" x14ac:dyDescent="0.3">
      <c r="A34" s="80">
        <v>1997</v>
      </c>
      <c r="B34" s="98">
        <f>'Extreme data'!E44</f>
        <v>2970</v>
      </c>
      <c r="C34" s="82">
        <f t="shared" si="0"/>
        <v>3.4727564493172123</v>
      </c>
      <c r="F34" s="52"/>
      <c r="G34" s="68"/>
    </row>
    <row r="35" spans="1:12" ht="15" x14ac:dyDescent="0.3">
      <c r="A35" s="80">
        <v>1998</v>
      </c>
      <c r="B35" s="98">
        <f>'Extreme data'!E45</f>
        <v>4700</v>
      </c>
      <c r="C35" s="82">
        <f t="shared" si="0"/>
        <v>3.6720978579357175</v>
      </c>
      <c r="F35" s="54"/>
      <c r="G35" s="68"/>
    </row>
    <row r="36" spans="1:12" ht="15" x14ac:dyDescent="0.3">
      <c r="A36" s="80">
        <v>1999</v>
      </c>
      <c r="B36" s="98">
        <f>'Extreme data'!E46</f>
        <v>3030</v>
      </c>
      <c r="C36" s="82">
        <f t="shared" si="0"/>
        <v>3.4814426285023048</v>
      </c>
      <c r="F36" s="54"/>
      <c r="G36" s="68"/>
    </row>
    <row r="37" spans="1:12" ht="15" x14ac:dyDescent="0.3">
      <c r="A37" s="80">
        <v>2000</v>
      </c>
      <c r="B37" s="98">
        <f>'Extreme data'!E47</f>
        <v>5700</v>
      </c>
      <c r="C37" s="82">
        <f t="shared" si="0"/>
        <v>3.7558748556724915</v>
      </c>
      <c r="F37" s="54"/>
      <c r="G37" s="68"/>
    </row>
    <row r="38" spans="1:12" ht="15" x14ac:dyDescent="0.3">
      <c r="A38" s="80">
        <v>2001</v>
      </c>
      <c r="B38" s="98">
        <f>'Extreme data'!E48</f>
        <v>2970</v>
      </c>
      <c r="C38" s="82">
        <f t="shared" si="0"/>
        <v>3.4727564493172123</v>
      </c>
      <c r="F38" s="54"/>
      <c r="G38" s="68"/>
    </row>
    <row r="39" spans="1:12" ht="15" x14ac:dyDescent="0.3">
      <c r="A39" s="80">
        <v>2002</v>
      </c>
      <c r="B39" s="98">
        <f>'Extreme data'!E49</f>
        <v>3110</v>
      </c>
      <c r="C39" s="82">
        <f t="shared" si="0"/>
        <v>3.4927603890268375</v>
      </c>
      <c r="F39" s="54"/>
      <c r="G39" s="68"/>
    </row>
    <row r="40" spans="1:12" ht="15" x14ac:dyDescent="0.3">
      <c r="A40" s="80">
        <v>2003</v>
      </c>
      <c r="B40" s="98">
        <f>'Extreme data'!E50</f>
        <v>2840</v>
      </c>
      <c r="C40" s="82">
        <f t="shared" si="0"/>
        <v>3.4533183400470375</v>
      </c>
      <c r="F40" s="54"/>
      <c r="G40" s="68"/>
    </row>
    <row r="41" spans="1:12" ht="15" x14ac:dyDescent="0.3">
      <c r="A41" s="80">
        <v>2004</v>
      </c>
      <c r="B41" s="98">
        <f>'Extreme data'!E51</f>
        <v>2200</v>
      </c>
      <c r="C41" s="82">
        <f t="shared" si="0"/>
        <v>3.3424226808222062</v>
      </c>
      <c r="F41" s="54"/>
      <c r="G41" s="68"/>
    </row>
    <row r="42" spans="1:12" ht="15" x14ac:dyDescent="0.3">
      <c r="A42" s="80">
        <v>2005</v>
      </c>
      <c r="B42" s="98">
        <f>'Extreme data'!E52</f>
        <v>2530</v>
      </c>
      <c r="C42" s="82">
        <f t="shared" si="0"/>
        <v>3.403120521175818</v>
      </c>
      <c r="F42" s="54"/>
      <c r="G42" s="68"/>
    </row>
    <row r="43" spans="1:12" ht="15" x14ac:dyDescent="0.3">
      <c r="A43" s="80">
        <v>2006</v>
      </c>
      <c r="B43" s="98">
        <f>'Extreme data'!E53</f>
        <v>2000</v>
      </c>
      <c r="C43" s="82">
        <f t="shared" si="0"/>
        <v>3.3010299956639813</v>
      </c>
      <c r="F43" s="54"/>
      <c r="G43" s="68"/>
    </row>
    <row r="44" spans="1:12" ht="15" x14ac:dyDescent="0.3">
      <c r="A44" s="96"/>
      <c r="B44" s="96"/>
      <c r="C44" s="96"/>
      <c r="F44" s="54"/>
      <c r="G44" s="68"/>
    </row>
    <row r="45" spans="1:12" x14ac:dyDescent="0.3">
      <c r="A45" s="69"/>
      <c r="B45" s="70"/>
      <c r="C45" s="70"/>
      <c r="G45" s="71"/>
    </row>
    <row r="46" spans="1:12" ht="15" x14ac:dyDescent="0.3">
      <c r="A46" s="373" t="s">
        <v>19</v>
      </c>
      <c r="B46" s="373"/>
      <c r="C46" s="373"/>
      <c r="D46" s="28"/>
      <c r="E46" s="28"/>
      <c r="F46" s="28"/>
      <c r="G46" s="35"/>
      <c r="H46" s="28"/>
      <c r="I46" s="28"/>
      <c r="J46" s="28"/>
      <c r="K46" s="28"/>
      <c r="L46" s="28"/>
    </row>
    <row r="47" spans="1:12" ht="16.5" x14ac:dyDescent="0.35">
      <c r="A47" s="36" t="s">
        <v>20</v>
      </c>
      <c r="B47" s="37">
        <f>AVERAGE($B$12:$B$43)</f>
        <v>2994.0625</v>
      </c>
      <c r="C47" s="37">
        <f>AVERAGE($C$12:$C$43)</f>
        <v>3.4537926905173761</v>
      </c>
      <c r="D47" s="36" t="s">
        <v>52</v>
      </c>
      <c r="E47" s="28"/>
      <c r="F47" s="28"/>
      <c r="G47" s="38"/>
      <c r="H47" s="28"/>
      <c r="I47" s="39"/>
      <c r="J47" s="39"/>
      <c r="K47" s="28"/>
      <c r="L47" s="28"/>
    </row>
    <row r="48" spans="1:12" ht="15" x14ac:dyDescent="0.3">
      <c r="A48" s="36" t="s">
        <v>21</v>
      </c>
      <c r="B48" s="37">
        <f>STDEV($B$12:$B$43)</f>
        <v>1027.9320279241513</v>
      </c>
      <c r="C48" s="37">
        <f>STDEV($C$12:$C$43)</f>
        <v>0.13994104242019653</v>
      </c>
      <c r="D48" s="36" t="s">
        <v>22</v>
      </c>
      <c r="E48" s="28"/>
      <c r="F48" s="28"/>
      <c r="G48" s="28"/>
      <c r="H48" s="28"/>
      <c r="I48" s="39"/>
      <c r="J48" s="39"/>
      <c r="K48" s="28"/>
      <c r="L48" s="28"/>
    </row>
    <row r="49" spans="1:12" ht="16.5" x14ac:dyDescent="0.35">
      <c r="A49" s="36" t="s">
        <v>23</v>
      </c>
      <c r="B49" s="37">
        <f>SKEW($B$12:$B$43)</f>
        <v>1.1836311424589014</v>
      </c>
      <c r="C49" s="37">
        <f>SKEW($C$12:$C$43)</f>
        <v>0.29448963044075227</v>
      </c>
      <c r="D49" s="36" t="s">
        <v>53</v>
      </c>
      <c r="E49" s="28"/>
      <c r="F49" s="28"/>
      <c r="G49" s="28"/>
      <c r="H49" s="28"/>
      <c r="I49" s="39"/>
      <c r="J49" s="39"/>
      <c r="K49" s="28"/>
      <c r="L49" s="28"/>
    </row>
    <row r="50" spans="1:12" ht="15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13.5" customHeight="1" x14ac:dyDescent="0.3">
      <c r="A51" s="361" t="s">
        <v>24</v>
      </c>
      <c r="B51" s="361"/>
      <c r="C51" s="361"/>
      <c r="D51" s="361"/>
      <c r="E51" s="361"/>
      <c r="F51" s="361"/>
      <c r="G51" s="361"/>
      <c r="H51" s="361"/>
      <c r="I51" s="361"/>
      <c r="J51" s="361"/>
      <c r="K51" s="361"/>
    </row>
    <row r="52" spans="1:12" ht="13.5" customHeight="1" x14ac:dyDescent="0.3">
      <c r="A52" s="28"/>
      <c r="D52" s="374" t="s">
        <v>249</v>
      </c>
      <c r="E52" s="375"/>
      <c r="F52" s="375"/>
      <c r="G52" s="375"/>
      <c r="H52" s="375"/>
      <c r="I52" s="375"/>
      <c r="J52" s="375"/>
      <c r="K52" s="376"/>
      <c r="L52" s="83"/>
    </row>
    <row r="53" spans="1:12" ht="15" customHeight="1" x14ac:dyDescent="0.3">
      <c r="A53" s="377" t="s">
        <v>25</v>
      </c>
      <c r="B53" s="379" t="s">
        <v>26</v>
      </c>
      <c r="C53" s="380"/>
      <c r="D53" s="381" t="s">
        <v>8</v>
      </c>
      <c r="E53" s="382"/>
      <c r="F53" s="383"/>
      <c r="G53" s="381" t="s">
        <v>27</v>
      </c>
      <c r="H53" s="382"/>
      <c r="I53" s="383"/>
      <c r="J53" s="381" t="s">
        <v>7</v>
      </c>
      <c r="K53" s="383"/>
      <c r="L53" s="83"/>
    </row>
    <row r="54" spans="1:12" ht="16.5" x14ac:dyDescent="0.35">
      <c r="A54" s="378"/>
      <c r="B54" s="41" t="s">
        <v>28</v>
      </c>
      <c r="C54" s="41" t="s">
        <v>29</v>
      </c>
      <c r="D54" s="41" t="s">
        <v>30</v>
      </c>
      <c r="E54" s="41" t="s">
        <v>54</v>
      </c>
      <c r="F54" s="41" t="s">
        <v>31</v>
      </c>
      <c r="G54" s="41" t="s">
        <v>55</v>
      </c>
      <c r="H54" s="41" t="s">
        <v>54</v>
      </c>
      <c r="I54" s="41" t="s">
        <v>31</v>
      </c>
      <c r="J54" s="41" t="s">
        <v>32</v>
      </c>
      <c r="K54" s="41" t="s">
        <v>33</v>
      </c>
      <c r="L54" s="84"/>
    </row>
    <row r="55" spans="1:12" ht="15" x14ac:dyDescent="0.3">
      <c r="A55" s="62">
        <v>1</v>
      </c>
      <c r="B55" s="42">
        <f>1/A55</f>
        <v>1</v>
      </c>
      <c r="C55" s="42">
        <f>SQRT(LN(1/B55^2))</f>
        <v>0</v>
      </c>
      <c r="D55" s="42">
        <f t="shared" ref="D55:D67" si="1">C55-((2.51557+0.80285*C55+0.010328*C55^2)/(1+1.432788*C55+0.189269*C55^2+0.001308*C55^3))</f>
        <v>-2.5155699999999999</v>
      </c>
      <c r="E55" s="42">
        <f t="shared" ref="E55:E67" si="2">$C$47+D55*$C$48</f>
        <v>3.1017612024364025</v>
      </c>
      <c r="F55" s="43">
        <f>(10)^E55</f>
        <v>1264.0411211807627</v>
      </c>
      <c r="G55" s="42">
        <f t="shared" ref="G55:G67" si="3">D55+(D55^2-1)*($C$49/6)+((D55^3-6*D55)*($C$49/6)^2)/3-(D55^2-1)*($C$49/6)^3+D55*($C$49/6)^4+1/3*($C$49/6)^5</f>
        <v>-2.2553659059688651</v>
      </c>
      <c r="H55" s="42">
        <f t="shared" ref="H55:H67" si="4">$C$47+G55*$C$48</f>
        <v>3.1381744345971221</v>
      </c>
      <c r="I55" s="43">
        <f>(10)^H55</f>
        <v>1374.5939705101855</v>
      </c>
      <c r="J55" s="44"/>
      <c r="K55" s="43"/>
      <c r="L55" s="84"/>
    </row>
    <row r="56" spans="1:12" ht="15" x14ac:dyDescent="0.3">
      <c r="A56" s="41">
        <v>2</v>
      </c>
      <c r="B56" s="42">
        <f>1/A56</f>
        <v>0.5</v>
      </c>
      <c r="C56" s="42">
        <f>SQRT(LN(1/B56^2))</f>
        <v>1.1774100225154747</v>
      </c>
      <c r="D56" s="42">
        <f t="shared" si="1"/>
        <v>-1.6861240179411041E-5</v>
      </c>
      <c r="E56" s="42">
        <f t="shared" si="2"/>
        <v>3.4537903309378488</v>
      </c>
      <c r="F56" s="43">
        <f>(10)^E56</f>
        <v>2843.0881875132391</v>
      </c>
      <c r="G56" s="42">
        <f t="shared" si="3"/>
        <v>-4.8980052434068465E-2</v>
      </c>
      <c r="H56" s="42">
        <f t="shared" si="4"/>
        <v>3.4469383709219565</v>
      </c>
      <c r="I56" s="43">
        <f>(10)^H56</f>
        <v>2798.584155022234</v>
      </c>
      <c r="J56" s="44">
        <f t="shared" ref="J56:J67" si="5">-LN(LN(A56/(A56-1)))</f>
        <v>0.36651292058166435</v>
      </c>
      <c r="K56" s="43">
        <f t="shared" ref="K56:K67" si="6">B$47-(0.577*SQRT(6)*B$48/PI())+(SQRT(6)*B$48/PI())*J56</f>
        <v>2825.3623019180159</v>
      </c>
      <c r="L56" s="85"/>
    </row>
    <row r="57" spans="1:12" ht="15" x14ac:dyDescent="0.3">
      <c r="A57" s="41">
        <v>2.33</v>
      </c>
      <c r="B57" s="42">
        <f>1/A57</f>
        <v>0.42918454935622319</v>
      </c>
      <c r="C57" s="42">
        <f>SQRT(LN(1/B57^2))</f>
        <v>1.3006677266524369</v>
      </c>
      <c r="D57" s="42">
        <f t="shared" si="1"/>
        <v>0.17808428211113303</v>
      </c>
      <c r="E57" s="42">
        <f t="shared" si="2"/>
        <v>3.4787139905946605</v>
      </c>
      <c r="F57" s="43">
        <f>(10)^E57</f>
        <v>3011.0224291771879</v>
      </c>
      <c r="G57" s="42">
        <f t="shared" si="3"/>
        <v>0.1298213917191324</v>
      </c>
      <c r="H57" s="42">
        <f t="shared" si="4"/>
        <v>3.4719600314029924</v>
      </c>
      <c r="I57" s="43">
        <f>(10)^H57</f>
        <v>2964.5585453983908</v>
      </c>
      <c r="J57" s="44">
        <f t="shared" si="5"/>
        <v>0.57858831412193601</v>
      </c>
      <c r="K57" s="43">
        <f t="shared" si="6"/>
        <v>2995.3354945597016</v>
      </c>
      <c r="L57" s="85"/>
    </row>
    <row r="58" spans="1:12" ht="15" x14ac:dyDescent="0.3">
      <c r="A58" s="41">
        <v>5</v>
      </c>
      <c r="B58" s="42">
        <f>1/A58</f>
        <v>0.2</v>
      </c>
      <c r="C58" s="42">
        <f>SQRT(LN(1/B58^2))</f>
        <v>1.7941225779941015</v>
      </c>
      <c r="D58" s="42">
        <f t="shared" si="1"/>
        <v>0.84144534566621687</v>
      </c>
      <c r="E58" s="42">
        <f t="shared" si="2"/>
        <v>3.5715454293295292</v>
      </c>
      <c r="F58" s="43">
        <f>(10)^E58</f>
        <v>3728.5968585209721</v>
      </c>
      <c r="G58" s="42">
        <f t="shared" si="3"/>
        <v>0.82357881540843991</v>
      </c>
      <c r="H58" s="42">
        <f t="shared" si="4"/>
        <v>3.569045168460824</v>
      </c>
      <c r="I58" s="43">
        <f>(10)^H58</f>
        <v>3707.1927614848119</v>
      </c>
      <c r="J58" s="44">
        <f t="shared" si="5"/>
        <v>1.4999399867595156</v>
      </c>
      <c r="K58" s="43">
        <f t="shared" si="6"/>
        <v>3733.7761157448676</v>
      </c>
      <c r="L58" s="85"/>
    </row>
    <row r="59" spans="1:12" ht="15" x14ac:dyDescent="0.3">
      <c r="A59" s="41">
        <v>10</v>
      </c>
      <c r="B59" s="42">
        <f>1/A59</f>
        <v>0.1</v>
      </c>
      <c r="C59" s="42">
        <f>SQRT(LN(1/B59^2))</f>
        <v>2.1459660262893472</v>
      </c>
      <c r="D59" s="42">
        <f t="shared" si="1"/>
        <v>1.2817193675751226</v>
      </c>
      <c r="E59" s="42">
        <f t="shared" si="2"/>
        <v>3.6331578349059939</v>
      </c>
      <c r="F59" s="43">
        <f>(10)^E59</f>
        <v>4296.925608290333</v>
      </c>
      <c r="G59" s="42">
        <f t="shared" si="3"/>
        <v>1.3087162524541847</v>
      </c>
      <c r="H59" s="42">
        <f t="shared" si="4"/>
        <v>3.6369358071180677</v>
      </c>
      <c r="I59" s="43">
        <f>(10)^H59</f>
        <v>4334.4680606506599</v>
      </c>
      <c r="J59" s="44">
        <f t="shared" si="5"/>
        <v>2.2503673273124449</v>
      </c>
      <c r="K59" s="43">
        <f t="shared" si="6"/>
        <v>4335.2251041923164</v>
      </c>
      <c r="L59" s="85"/>
    </row>
    <row r="60" spans="1:12" ht="15" x14ac:dyDescent="0.3">
      <c r="A60" s="41">
        <v>20</v>
      </c>
      <c r="B60" s="42">
        <f t="shared" ref="B60:B67" si="7">1/A60</f>
        <v>0.05</v>
      </c>
      <c r="C60" s="42">
        <f t="shared" ref="C60:C67" si="8">SQRT(LN(1/B60^2))</f>
        <v>2.4477468306808166</v>
      </c>
      <c r="D60" s="42">
        <f t="shared" si="1"/>
        <v>1.6452033739823797</v>
      </c>
      <c r="E60" s="42">
        <f t="shared" si="2"/>
        <v>3.6840241656656949</v>
      </c>
      <c r="F60" s="43">
        <f t="shared" ref="F60:F67" si="9">(10)^E60</f>
        <v>4830.8568187083038</v>
      </c>
      <c r="G60" s="42">
        <f t="shared" si="3"/>
        <v>1.7244277207085033</v>
      </c>
      <c r="H60" s="42">
        <f t="shared" si="4"/>
        <v>3.6951109033316074</v>
      </c>
      <c r="I60" s="43">
        <f t="shared" ref="I60:I66" si="10">(10)^H60</f>
        <v>4955.7672728051257</v>
      </c>
      <c r="J60" s="44">
        <f t="shared" si="5"/>
        <v>2.9701952490421655</v>
      </c>
      <c r="K60" s="43">
        <f t="shared" si="6"/>
        <v>4912.1494138284379</v>
      </c>
      <c r="L60" s="85"/>
    </row>
    <row r="61" spans="1:12" ht="15" x14ac:dyDescent="0.3">
      <c r="A61" s="41">
        <v>50</v>
      </c>
      <c r="B61" s="42">
        <f t="shared" si="7"/>
        <v>0.02</v>
      </c>
      <c r="C61" s="42">
        <f t="shared" si="8"/>
        <v>2.7971496225365371</v>
      </c>
      <c r="D61" s="42">
        <f t="shared" si="1"/>
        <v>2.0541817439773808</v>
      </c>
      <c r="E61" s="42">
        <f t="shared" si="2"/>
        <v>3.7412570250901083</v>
      </c>
      <c r="F61" s="43">
        <f t="shared" si="9"/>
        <v>5511.3377307575402</v>
      </c>
      <c r="G61" s="42">
        <f t="shared" si="3"/>
        <v>2.2089025987838751</v>
      </c>
      <c r="H61" s="42">
        <f t="shared" si="4"/>
        <v>3.7629088227958727</v>
      </c>
      <c r="I61" s="43">
        <f t="shared" si="10"/>
        <v>5793.0706203962409</v>
      </c>
      <c r="J61" s="44">
        <f t="shared" si="5"/>
        <v>3.9019386579358333</v>
      </c>
      <c r="K61" s="43">
        <f t="shared" si="6"/>
        <v>5658.9187550930619</v>
      </c>
      <c r="L61" s="85"/>
    </row>
    <row r="62" spans="1:12" ht="15" x14ac:dyDescent="0.3">
      <c r="A62" s="45">
        <v>100</v>
      </c>
      <c r="B62" s="46">
        <f t="shared" si="7"/>
        <v>0.01</v>
      </c>
      <c r="C62" s="46">
        <f t="shared" si="8"/>
        <v>3.0348542587702929</v>
      </c>
      <c r="D62" s="46">
        <f t="shared" si="1"/>
        <v>2.3267791744716506</v>
      </c>
      <c r="E62" s="46">
        <f t="shared" si="2"/>
        <v>3.7794045936745433</v>
      </c>
      <c r="F62" s="47">
        <f t="shared" si="9"/>
        <v>6017.3405872898466</v>
      </c>
      <c r="G62" s="46">
        <f t="shared" si="3"/>
        <v>2.541817173555057</v>
      </c>
      <c r="H62" s="46">
        <f t="shared" si="4"/>
        <v>3.8094972354262282</v>
      </c>
      <c r="I62" s="47">
        <f>(10)^H62</f>
        <v>6449.0721459088163</v>
      </c>
      <c r="J62" s="48">
        <f t="shared" si="5"/>
        <v>4.6001492267765736</v>
      </c>
      <c r="K62" s="47">
        <f t="shared" si="6"/>
        <v>6218.5172900333837</v>
      </c>
      <c r="L62" s="85"/>
    </row>
    <row r="63" spans="1:12" ht="15" x14ac:dyDescent="0.3">
      <c r="A63" s="41">
        <v>200</v>
      </c>
      <c r="B63" s="42">
        <f t="shared" si="7"/>
        <v>5.0000000000000001E-3</v>
      </c>
      <c r="C63" s="42">
        <f t="shared" si="8"/>
        <v>3.2552472614374586</v>
      </c>
      <c r="D63" s="42">
        <f t="shared" si="1"/>
        <v>2.5762304772515181</v>
      </c>
      <c r="E63" s="42">
        <f t="shared" si="2"/>
        <v>3.8143130690186338</v>
      </c>
      <c r="F63" s="43">
        <f t="shared" si="9"/>
        <v>6520.9830150438675</v>
      </c>
      <c r="G63" s="42">
        <f t="shared" si="3"/>
        <v>2.8535679325516412</v>
      </c>
      <c r="H63" s="42">
        <f t="shared" si="4"/>
        <v>3.853123961615498</v>
      </c>
      <c r="I63" s="43">
        <f t="shared" si="10"/>
        <v>7130.5653035371224</v>
      </c>
      <c r="J63" s="44">
        <f t="shared" si="5"/>
        <v>5.295812142535044</v>
      </c>
      <c r="K63" s="43">
        <f t="shared" si="6"/>
        <v>6776.0739439194822</v>
      </c>
      <c r="L63" s="85"/>
    </row>
    <row r="64" spans="1:12" ht="15" x14ac:dyDescent="0.3">
      <c r="A64" s="41">
        <v>500</v>
      </c>
      <c r="B64" s="42">
        <f t="shared" si="7"/>
        <v>2E-3</v>
      </c>
      <c r="C64" s="42">
        <f t="shared" si="8"/>
        <v>3.5255093528232742</v>
      </c>
      <c r="D64" s="42">
        <f t="shared" si="1"/>
        <v>2.8785010937925581</v>
      </c>
      <c r="E64" s="42">
        <f t="shared" si="2"/>
        <v>3.8566131341903827</v>
      </c>
      <c r="F64" s="43">
        <f t="shared" si="9"/>
        <v>7188.083843681321</v>
      </c>
      <c r="G64" s="42">
        <f t="shared" si="3"/>
        <v>3.2405370721668816</v>
      </c>
      <c r="H64" s="42">
        <f t="shared" si="4"/>
        <v>3.9072768263977014</v>
      </c>
      <c r="I64" s="43">
        <f t="shared" si="10"/>
        <v>8077.4973906914993</v>
      </c>
      <c r="J64" s="44">
        <f t="shared" si="5"/>
        <v>6.213607264087516</v>
      </c>
      <c r="K64" s="43">
        <f t="shared" si="6"/>
        <v>7511.6640772067476</v>
      </c>
      <c r="L64" s="85"/>
    </row>
    <row r="65" spans="1:12" ht="15" x14ac:dyDescent="0.3">
      <c r="A65" s="41">
        <v>1000</v>
      </c>
      <c r="B65" s="42">
        <f t="shared" si="7"/>
        <v>1E-3</v>
      </c>
      <c r="C65" s="42">
        <f t="shared" si="8"/>
        <v>3.7169221888498383</v>
      </c>
      <c r="D65" s="42">
        <f t="shared" si="1"/>
        <v>3.090517579776618</v>
      </c>
      <c r="E65" s="42">
        <f t="shared" si="2"/>
        <v>3.8862829422492591</v>
      </c>
      <c r="F65" s="43">
        <f t="shared" si="9"/>
        <v>7696.3169096009533</v>
      </c>
      <c r="G65" s="42">
        <f t="shared" si="3"/>
        <v>3.5180492212288295</v>
      </c>
      <c r="H65" s="42">
        <f t="shared" si="4"/>
        <v>3.9461121658216993</v>
      </c>
      <c r="I65" s="43">
        <f t="shared" si="10"/>
        <v>8833.080041107647</v>
      </c>
      <c r="J65" s="44">
        <f t="shared" si="5"/>
        <v>6.907255070523628</v>
      </c>
      <c r="K65" s="43">
        <f t="shared" si="6"/>
        <v>8067.6056707158459</v>
      </c>
      <c r="L65" s="85"/>
    </row>
    <row r="66" spans="1:12" ht="15" x14ac:dyDescent="0.3">
      <c r="A66" s="41">
        <v>5000</v>
      </c>
      <c r="B66" s="42">
        <f t="shared" si="7"/>
        <v>2.0000000000000001E-4</v>
      </c>
      <c r="C66" s="42">
        <f t="shared" si="8"/>
        <v>4.1272734804992597</v>
      </c>
      <c r="D66" s="42">
        <f t="shared" si="1"/>
        <v>3.5402404913194201</v>
      </c>
      <c r="E66" s="42">
        <f t="shared" si="2"/>
        <v>3.9492176352908044</v>
      </c>
      <c r="F66" s="43">
        <f t="shared" si="9"/>
        <v>8896.4682934901903</v>
      </c>
      <c r="G66" s="42">
        <f t="shared" si="3"/>
        <v>4.1235434585255994</v>
      </c>
      <c r="H66" s="42">
        <f t="shared" si="4"/>
        <v>4.0308456605684313</v>
      </c>
      <c r="I66" s="43">
        <f t="shared" si="10"/>
        <v>10736.078061451466</v>
      </c>
      <c r="J66" s="44">
        <f t="shared" si="5"/>
        <v>8.5170931830821246</v>
      </c>
      <c r="K66" s="43">
        <f t="shared" si="6"/>
        <v>9357.851177561377</v>
      </c>
      <c r="L66" s="85"/>
    </row>
    <row r="67" spans="1:12" ht="15" x14ac:dyDescent="0.3">
      <c r="A67" s="41">
        <v>10000</v>
      </c>
      <c r="B67" s="42">
        <f t="shared" si="7"/>
        <v>1E-4</v>
      </c>
      <c r="C67" s="42">
        <f t="shared" si="8"/>
        <v>4.2919320525786944</v>
      </c>
      <c r="D67" s="42">
        <f t="shared" si="1"/>
        <v>3.7191205599951926</v>
      </c>
      <c r="E67" s="42">
        <f t="shared" si="2"/>
        <v>3.9742502985694887</v>
      </c>
      <c r="F67" s="43">
        <f t="shared" si="9"/>
        <v>9424.3259575007178</v>
      </c>
      <c r="G67" s="42">
        <f t="shared" si="3"/>
        <v>4.3708227214717112</v>
      </c>
      <c r="H67" s="42">
        <f t="shared" si="4"/>
        <v>4.0654501783940074</v>
      </c>
      <c r="I67" s="43">
        <f>(10)^H67</f>
        <v>11626.531655402445</v>
      </c>
      <c r="J67" s="44">
        <f t="shared" si="5"/>
        <v>9.2102903698935528</v>
      </c>
      <c r="K67" s="43">
        <f t="shared" si="6"/>
        <v>9913.4316105652633</v>
      </c>
      <c r="L67" s="85"/>
    </row>
    <row r="68" spans="1:12" x14ac:dyDescent="0.3">
      <c r="L68" s="72"/>
    </row>
    <row r="69" spans="1:12" x14ac:dyDescent="0.3">
      <c r="A69" s="362"/>
      <c r="B69" s="362"/>
      <c r="C69" s="362"/>
      <c r="D69" s="362"/>
      <c r="E69" s="362"/>
      <c r="F69" s="362"/>
      <c r="G69" s="362"/>
      <c r="H69" s="362"/>
      <c r="I69" s="362"/>
      <c r="J69" s="73"/>
      <c r="K69" s="73"/>
      <c r="L69" s="72"/>
    </row>
    <row r="70" spans="1:12" x14ac:dyDescent="0.3">
      <c r="L70" s="72"/>
    </row>
    <row r="71" spans="1:12" x14ac:dyDescent="0.3">
      <c r="L71" s="72"/>
    </row>
    <row r="73" spans="1:12" ht="13.5" hidden="1" customHeight="1" x14ac:dyDescent="0.3">
      <c r="A73" s="362" t="s">
        <v>34</v>
      </c>
      <c r="B73" s="362"/>
      <c r="C73" s="362"/>
      <c r="D73" s="362"/>
      <c r="E73" s="362"/>
      <c r="F73" s="362"/>
      <c r="G73" s="362"/>
      <c r="H73" s="362"/>
      <c r="I73" s="362"/>
      <c r="J73" s="73"/>
      <c r="K73" s="73"/>
    </row>
    <row r="74" spans="1:12" hidden="1" x14ac:dyDescent="0.3">
      <c r="A74" s="73"/>
      <c r="B74" s="73"/>
      <c r="C74" s="73"/>
      <c r="D74" s="73"/>
      <c r="E74" s="362" t="s">
        <v>8</v>
      </c>
      <c r="F74" s="362"/>
      <c r="G74" s="363" t="s">
        <v>27</v>
      </c>
      <c r="H74" s="363"/>
      <c r="I74" s="73"/>
      <c r="J74" s="73"/>
      <c r="K74" s="73"/>
    </row>
    <row r="75" spans="1:12" hidden="1" x14ac:dyDescent="0.3">
      <c r="D75" s="29" t="s">
        <v>22</v>
      </c>
      <c r="E75" s="74"/>
      <c r="F75" s="74"/>
      <c r="G75" s="74"/>
    </row>
    <row r="76" spans="1:12" hidden="1" x14ac:dyDescent="0.3">
      <c r="D76" s="29" t="s">
        <v>74</v>
      </c>
      <c r="E76" s="74" t="e">
        <f>#REF!-#REF!</f>
        <v>#REF!</v>
      </c>
      <c r="F76" s="74"/>
      <c r="G76" s="74" t="e">
        <f>#REF!-#REF!</f>
        <v>#REF!</v>
      </c>
    </row>
    <row r="77" spans="1:12" hidden="1" x14ac:dyDescent="0.3">
      <c r="D77" s="29" t="s">
        <v>75</v>
      </c>
      <c r="E77" s="74">
        <f>D62-D56</f>
        <v>2.3267960357118298</v>
      </c>
      <c r="F77" s="74"/>
      <c r="G77" s="74">
        <f>G62-G56</f>
        <v>2.5907972259891254</v>
      </c>
    </row>
    <row r="78" spans="1:12" hidden="1" x14ac:dyDescent="0.3">
      <c r="D78" s="29" t="s">
        <v>22</v>
      </c>
      <c r="E78" s="74" t="e">
        <f>E76/E77</f>
        <v>#REF!</v>
      </c>
      <c r="F78" s="74"/>
      <c r="G78" s="74" t="e">
        <f>G76/G77</f>
        <v>#REF!</v>
      </c>
    </row>
    <row r="79" spans="1:12" hidden="1" x14ac:dyDescent="0.3">
      <c r="D79" s="29" t="s">
        <v>76</v>
      </c>
      <c r="E79" s="74" t="e">
        <f>#REF!-D56*E78</f>
        <v>#REF!</v>
      </c>
      <c r="F79" s="74"/>
      <c r="G79" s="74" t="e">
        <f>#REF!-G56*G78</f>
        <v>#REF!</v>
      </c>
    </row>
    <row r="80" spans="1:12" hidden="1" x14ac:dyDescent="0.3">
      <c r="E80" s="74" t="e">
        <f>10^E79</f>
        <v>#REF!</v>
      </c>
      <c r="F80" s="74"/>
      <c r="G80" s="74" t="e">
        <f>10^G79</f>
        <v>#REF!</v>
      </c>
    </row>
    <row r="85" spans="7:7" x14ac:dyDescent="0.3">
      <c r="G85" s="75"/>
    </row>
  </sheetData>
  <mergeCells count="13">
    <mergeCell ref="A69:I69"/>
    <mergeCell ref="A73:I73"/>
    <mergeCell ref="E74:F74"/>
    <mergeCell ref="G74:H74"/>
    <mergeCell ref="A9:C9"/>
    <mergeCell ref="A46:C46"/>
    <mergeCell ref="A51:K51"/>
    <mergeCell ref="D52:K52"/>
    <mergeCell ref="A53:A54"/>
    <mergeCell ref="B53:C53"/>
    <mergeCell ref="D53:F53"/>
    <mergeCell ref="G53:I53"/>
    <mergeCell ref="J53:K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P77"/>
  <sheetViews>
    <sheetView topLeftCell="A41" workbookViewId="0">
      <selection activeCell="H50" sqref="H50"/>
    </sheetView>
  </sheetViews>
  <sheetFormatPr defaultRowHeight="13.5" x14ac:dyDescent="0.3"/>
  <cols>
    <col min="1" max="1" width="10.7109375" style="29" customWidth="1"/>
    <col min="2" max="3" width="10.28515625" style="29" customWidth="1"/>
    <col min="4" max="4" width="27.5703125" style="29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247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404.7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306" t="s">
        <v>254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61" t="s">
        <v>14</v>
      </c>
      <c r="B9" s="361"/>
      <c r="C9" s="361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1985</v>
      </c>
      <c r="B12" s="98">
        <f>'Extreme data'!F32</f>
        <v>1420</v>
      </c>
      <c r="C12" s="82">
        <f t="shared" ref="C12:C33" si="0">IF(B12="","",LOG(B12))</f>
        <v>3.1522883443830563</v>
      </c>
    </row>
    <row r="13" spans="1:16" ht="15" x14ac:dyDescent="0.3">
      <c r="A13" s="80">
        <v>1986</v>
      </c>
      <c r="B13" s="98">
        <f>'Extreme data'!F33</f>
        <v>1270</v>
      </c>
      <c r="C13" s="82">
        <f t="shared" si="0"/>
        <v>3.1038037209559568</v>
      </c>
    </row>
    <row r="14" spans="1:16" ht="15" x14ac:dyDescent="0.3">
      <c r="A14" s="80">
        <v>1987</v>
      </c>
      <c r="B14" s="98">
        <f>'Extreme data'!F34</f>
        <v>1520</v>
      </c>
      <c r="C14" s="82">
        <f t="shared" si="0"/>
        <v>3.1818435879447726</v>
      </c>
    </row>
    <row r="15" spans="1:16" ht="15" x14ac:dyDescent="0.3">
      <c r="A15" s="80">
        <v>1988</v>
      </c>
      <c r="B15" s="98">
        <f>'Extreme data'!F35</f>
        <v>1370</v>
      </c>
      <c r="C15" s="82">
        <f t="shared" si="0"/>
        <v>3.1367205671564067</v>
      </c>
    </row>
    <row r="16" spans="1:16" ht="15" x14ac:dyDescent="0.3">
      <c r="A16" s="80">
        <v>1989</v>
      </c>
      <c r="B16" s="98">
        <f>'Extreme data'!F36</f>
        <v>1270</v>
      </c>
      <c r="C16" s="82">
        <f t="shared" si="0"/>
        <v>3.1038037209559568</v>
      </c>
    </row>
    <row r="17" spans="1:7" ht="15" x14ac:dyDescent="0.3">
      <c r="A17" s="80">
        <v>1990</v>
      </c>
      <c r="B17" s="98">
        <f>'Extreme data'!F37</f>
        <v>1170</v>
      </c>
      <c r="C17" s="82">
        <f t="shared" si="0"/>
        <v>3.0681858617461617</v>
      </c>
    </row>
    <row r="18" spans="1:7" ht="15" x14ac:dyDescent="0.3">
      <c r="A18" s="80">
        <v>1991</v>
      </c>
      <c r="B18" s="98">
        <f>'Extreme data'!F38</f>
        <v>1470</v>
      </c>
      <c r="C18" s="82">
        <f t="shared" si="0"/>
        <v>3.167317334748176</v>
      </c>
    </row>
    <row r="19" spans="1:7" ht="15" x14ac:dyDescent="0.3">
      <c r="A19" s="80">
        <v>1992</v>
      </c>
      <c r="B19" s="98">
        <f>'Extreme data'!F39</f>
        <v>1270</v>
      </c>
      <c r="C19" s="82">
        <f t="shared" si="0"/>
        <v>3.1038037209559568</v>
      </c>
    </row>
    <row r="20" spans="1:7" ht="15" x14ac:dyDescent="0.3">
      <c r="A20" s="80">
        <v>1993</v>
      </c>
      <c r="B20" s="98">
        <f>'Extreme data'!F40</f>
        <v>1470</v>
      </c>
      <c r="C20" s="82">
        <f t="shared" si="0"/>
        <v>3.167317334748176</v>
      </c>
    </row>
    <row r="21" spans="1:7" ht="15" x14ac:dyDescent="0.3">
      <c r="A21" s="80">
        <v>1994</v>
      </c>
      <c r="B21" s="98">
        <f>'Extreme data'!F41</f>
        <v>957</v>
      </c>
      <c r="C21" s="82">
        <f t="shared" si="0"/>
        <v>2.9809119377768436</v>
      </c>
    </row>
    <row r="22" spans="1:7" ht="15" x14ac:dyDescent="0.3">
      <c r="A22" s="80">
        <v>1995</v>
      </c>
      <c r="B22" s="98">
        <f>'Extreme data'!F42</f>
        <v>1450</v>
      </c>
      <c r="C22" s="82">
        <f t="shared" si="0"/>
        <v>3.1613680022349748</v>
      </c>
    </row>
    <row r="23" spans="1:7" ht="15" x14ac:dyDescent="0.3">
      <c r="A23" s="80">
        <v>1996</v>
      </c>
      <c r="B23" s="98">
        <f>'Extreme data'!F43</f>
        <v>1470</v>
      </c>
      <c r="C23" s="82">
        <f t="shared" si="0"/>
        <v>3.167317334748176</v>
      </c>
    </row>
    <row r="24" spans="1:7" ht="15" x14ac:dyDescent="0.3">
      <c r="A24" s="80">
        <v>1997</v>
      </c>
      <c r="B24" s="98">
        <f>'Extreme data'!F44</f>
        <v>1320</v>
      </c>
      <c r="C24" s="82">
        <f t="shared" si="0"/>
        <v>3.12057393120585</v>
      </c>
    </row>
    <row r="25" spans="1:7" ht="15" x14ac:dyDescent="0.3">
      <c r="A25" s="80">
        <v>1998</v>
      </c>
      <c r="B25" s="98">
        <f>'Extreme data'!F45</f>
        <v>1460</v>
      </c>
      <c r="C25" s="82">
        <f t="shared" si="0"/>
        <v>3.1643528557844371</v>
      </c>
    </row>
    <row r="26" spans="1:7" ht="15" x14ac:dyDescent="0.3">
      <c r="A26" s="80">
        <v>1999</v>
      </c>
      <c r="B26" s="98">
        <f>'Extreme data'!F46</f>
        <v>1840</v>
      </c>
      <c r="C26" s="82">
        <f t="shared" si="0"/>
        <v>3.2648178230095364</v>
      </c>
      <c r="F26" s="52"/>
      <c r="G26" s="68"/>
    </row>
    <row r="27" spans="1:7" ht="15" x14ac:dyDescent="0.3">
      <c r="A27" s="80">
        <v>2000</v>
      </c>
      <c r="B27" s="98">
        <f>'Extreme data'!F47</f>
        <v>1800</v>
      </c>
      <c r="C27" s="82">
        <f t="shared" si="0"/>
        <v>3.255272505103306</v>
      </c>
      <c r="F27" s="52"/>
      <c r="G27" s="68"/>
    </row>
    <row r="28" spans="1:7" ht="15" x14ac:dyDescent="0.3">
      <c r="A28" s="80">
        <v>2001</v>
      </c>
      <c r="B28" s="98">
        <f>'Extreme data'!F48</f>
        <v>1130</v>
      </c>
      <c r="C28" s="82">
        <f t="shared" si="0"/>
        <v>3.0530784434834195</v>
      </c>
      <c r="F28" s="52"/>
      <c r="G28" s="68"/>
    </row>
    <row r="29" spans="1:7" ht="15" x14ac:dyDescent="0.3">
      <c r="A29" s="80">
        <v>2002</v>
      </c>
      <c r="B29" s="98">
        <f>'Extreme data'!F49</f>
        <v>1620</v>
      </c>
      <c r="C29" s="82">
        <f t="shared" si="0"/>
        <v>3.2095150145426308</v>
      </c>
      <c r="F29" s="52"/>
      <c r="G29" s="68"/>
    </row>
    <row r="30" spans="1:7" ht="15" x14ac:dyDescent="0.3">
      <c r="A30" s="80">
        <v>2003</v>
      </c>
      <c r="B30" s="98">
        <f>'Extreme data'!F50</f>
        <v>1350</v>
      </c>
      <c r="C30" s="82">
        <f t="shared" si="0"/>
        <v>3.1303337684950061</v>
      </c>
      <c r="F30" s="52"/>
      <c r="G30" s="68"/>
    </row>
    <row r="31" spans="1:7" ht="15" x14ac:dyDescent="0.3">
      <c r="A31" s="80">
        <v>2004</v>
      </c>
      <c r="B31" s="98">
        <f>'Extreme data'!F51</f>
        <v>1010</v>
      </c>
      <c r="C31" s="82">
        <f t="shared" si="0"/>
        <v>3.0043213737826426</v>
      </c>
      <c r="F31" s="52"/>
      <c r="G31" s="68"/>
    </row>
    <row r="32" spans="1:7" ht="15" x14ac:dyDescent="0.3">
      <c r="A32" s="80">
        <v>2005</v>
      </c>
      <c r="B32" s="98">
        <f>'Extreme data'!F52</f>
        <v>1620</v>
      </c>
      <c r="C32" s="82">
        <f t="shared" si="0"/>
        <v>3.2095150145426308</v>
      </c>
      <c r="F32" s="52"/>
      <c r="G32" s="68"/>
    </row>
    <row r="33" spans="1:12" ht="15" x14ac:dyDescent="0.3">
      <c r="A33" s="80">
        <v>2006</v>
      </c>
      <c r="B33" s="98">
        <f>'Extreme data'!F53</f>
        <v>949</v>
      </c>
      <c r="C33" s="82">
        <f t="shared" si="0"/>
        <v>2.9772662124272928</v>
      </c>
      <c r="F33" s="52"/>
      <c r="G33" s="68"/>
    </row>
    <row r="34" spans="1:12" ht="15" x14ac:dyDescent="0.3">
      <c r="A34" s="96"/>
      <c r="B34" s="96"/>
      <c r="C34" s="96"/>
      <c r="E34"/>
      <c r="G34" s="68"/>
    </row>
    <row r="35" spans="1:12" x14ac:dyDescent="0.3">
      <c r="A35" s="69"/>
      <c r="B35" s="70"/>
      <c r="C35" s="70"/>
      <c r="G35" s="71"/>
    </row>
    <row r="36" spans="1:12" x14ac:dyDescent="0.3">
      <c r="A36" s="69"/>
      <c r="B36" s="70"/>
      <c r="C36" s="70"/>
      <c r="G36" s="71"/>
    </row>
    <row r="37" spans="1:12" x14ac:dyDescent="0.3">
      <c r="B37" s="70"/>
      <c r="C37" s="70"/>
    </row>
    <row r="38" spans="1:12" ht="15" x14ac:dyDescent="0.3">
      <c r="A38" s="361" t="s">
        <v>19</v>
      </c>
      <c r="B38" s="361"/>
      <c r="C38" s="361"/>
      <c r="D38" s="28"/>
      <c r="E38" s="28"/>
      <c r="F38" s="28"/>
      <c r="G38" s="35"/>
      <c r="H38" s="28"/>
      <c r="I38" s="28"/>
      <c r="J38" s="28"/>
      <c r="K38" s="28"/>
      <c r="L38" s="28"/>
    </row>
    <row r="39" spans="1:12" ht="16.5" x14ac:dyDescent="0.35">
      <c r="A39" s="36" t="s">
        <v>20</v>
      </c>
      <c r="B39" s="37">
        <f>AVERAGE($B$12:$B$33)</f>
        <v>1373</v>
      </c>
      <c r="C39" s="37">
        <f>AVERAGE($C$12:$C$33)</f>
        <v>3.1310785641241528</v>
      </c>
      <c r="D39" s="36" t="s">
        <v>52</v>
      </c>
      <c r="E39" s="28"/>
      <c r="F39" s="28"/>
      <c r="G39" s="38"/>
      <c r="H39" s="28"/>
      <c r="I39" s="39"/>
      <c r="J39" s="39"/>
      <c r="K39" s="28"/>
      <c r="L39" s="28"/>
    </row>
    <row r="40" spans="1:12" ht="15" x14ac:dyDescent="0.3">
      <c r="A40" s="36" t="s">
        <v>21</v>
      </c>
      <c r="B40" s="37">
        <f>STDEV($B$12:$B$33)</f>
        <v>239.84240857775956</v>
      </c>
      <c r="C40" s="37">
        <f>STDEV($C$12:$C$33)</f>
        <v>7.8466198694576605E-2</v>
      </c>
      <c r="D40" s="36" t="s">
        <v>22</v>
      </c>
      <c r="E40" s="28"/>
      <c r="F40" s="28"/>
      <c r="G40" s="28"/>
      <c r="H40" s="28"/>
      <c r="I40" s="39"/>
      <c r="J40" s="39"/>
      <c r="K40" s="28"/>
      <c r="L40" s="28"/>
    </row>
    <row r="41" spans="1:12" ht="16.5" x14ac:dyDescent="0.35">
      <c r="A41" s="36" t="s">
        <v>23</v>
      </c>
      <c r="B41" s="37">
        <f>SKEW($B$12:$B$33)</f>
        <v>-1.9849260430706148E-2</v>
      </c>
      <c r="C41" s="37">
        <f>SKEW($C$12:$C$33)</f>
        <v>-0.45824967377680575</v>
      </c>
      <c r="D41" s="36" t="s">
        <v>53</v>
      </c>
      <c r="E41" s="28"/>
      <c r="F41" s="28"/>
      <c r="G41" s="28"/>
      <c r="H41" s="28"/>
      <c r="I41" s="39"/>
      <c r="J41" s="39"/>
      <c r="K41" s="28"/>
      <c r="L41" s="28"/>
    </row>
    <row r="42" spans="1:12" ht="15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ht="13.5" customHeight="1" x14ac:dyDescent="0.3">
      <c r="A43" s="361" t="s">
        <v>24</v>
      </c>
      <c r="B43" s="361"/>
      <c r="C43" s="361"/>
      <c r="D43" s="361"/>
      <c r="E43" s="361"/>
      <c r="F43" s="361"/>
      <c r="G43" s="361"/>
      <c r="H43" s="361"/>
      <c r="I43" s="361"/>
      <c r="J43" s="361"/>
      <c r="K43" s="361"/>
    </row>
    <row r="44" spans="1:12" ht="13.5" customHeight="1" x14ac:dyDescent="0.3">
      <c r="A44" s="28"/>
      <c r="D44" s="374" t="s">
        <v>265</v>
      </c>
      <c r="E44" s="375"/>
      <c r="F44" s="375"/>
      <c r="G44" s="375"/>
      <c r="H44" s="375"/>
      <c r="I44" s="375"/>
      <c r="J44" s="375"/>
      <c r="K44" s="376"/>
      <c r="L44" s="83"/>
    </row>
    <row r="45" spans="1:12" ht="15" x14ac:dyDescent="0.3">
      <c r="A45" s="364" t="s">
        <v>25</v>
      </c>
      <c r="B45" s="365" t="s">
        <v>26</v>
      </c>
      <c r="C45" s="365"/>
      <c r="D45" s="370" t="s">
        <v>8</v>
      </c>
      <c r="E45" s="370"/>
      <c r="F45" s="370"/>
      <c r="G45" s="370" t="s">
        <v>27</v>
      </c>
      <c r="H45" s="370"/>
      <c r="I45" s="370"/>
      <c r="J45" s="370" t="s">
        <v>7</v>
      </c>
      <c r="K45" s="370"/>
      <c r="L45" s="83"/>
    </row>
    <row r="46" spans="1:12" ht="16.5" x14ac:dyDescent="0.35">
      <c r="A46" s="364"/>
      <c r="B46" s="41" t="s">
        <v>28</v>
      </c>
      <c r="C46" s="41" t="s">
        <v>29</v>
      </c>
      <c r="D46" s="41" t="s">
        <v>30</v>
      </c>
      <c r="E46" s="41" t="s">
        <v>54</v>
      </c>
      <c r="F46" s="41" t="s">
        <v>31</v>
      </c>
      <c r="G46" s="41" t="s">
        <v>55</v>
      </c>
      <c r="H46" s="41" t="s">
        <v>54</v>
      </c>
      <c r="I46" s="41" t="s">
        <v>31</v>
      </c>
      <c r="J46" s="41" t="s">
        <v>32</v>
      </c>
      <c r="K46" s="41" t="s">
        <v>33</v>
      </c>
      <c r="L46" s="84"/>
    </row>
    <row r="47" spans="1:12" ht="15" x14ac:dyDescent="0.3">
      <c r="A47" s="62">
        <v>1</v>
      </c>
      <c r="B47" s="42">
        <f>1/A47</f>
        <v>1</v>
      </c>
      <c r="C47" s="42">
        <f>SQRT(LN(1/B47^2))</f>
        <v>0</v>
      </c>
      <c r="D47" s="42">
        <f t="shared" ref="D47:D59" si="1">C47-((2.51557+0.80285*C47+0.010328*C47^2)/(1+1.432788*C47+0.189269*C47^2+0.001308*C47^3))</f>
        <v>-2.5155699999999999</v>
      </c>
      <c r="E47" s="42">
        <f>$C$39+D47*$C$40</f>
        <v>2.9336913486740368</v>
      </c>
      <c r="F47" s="43">
        <f>(10)^E47</f>
        <v>858.40324096909444</v>
      </c>
      <c r="G47" s="42">
        <f>D47+(D47^2-1)*($C$41/6)+((D47^3-6*D47)*($C$41/6)^2)/3-(D47^2-1)*($C$41/6)^3+D47*($C$41/6)^4+1/3*($C$41/6)^5</f>
        <v>-2.9218203075888218</v>
      </c>
      <c r="H47" s="42">
        <f>$C$39+G47*$C$40</f>
        <v>2.9018144313190395</v>
      </c>
      <c r="I47" s="43">
        <f>(10)^H47</f>
        <v>797.65378680706385</v>
      </c>
      <c r="J47" s="44"/>
      <c r="K47" s="43"/>
      <c r="L47" s="84"/>
    </row>
    <row r="48" spans="1:12" ht="15" x14ac:dyDescent="0.3">
      <c r="A48" s="41">
        <v>2</v>
      </c>
      <c r="B48" s="42">
        <f>1/A48</f>
        <v>0.5</v>
      </c>
      <c r="C48" s="42">
        <f>SQRT(LN(1/B48^2))</f>
        <v>1.1774100225154747</v>
      </c>
      <c r="D48" s="42">
        <f t="shared" si="1"/>
        <v>-1.6861240179411041E-5</v>
      </c>
      <c r="E48" s="42">
        <f>$C$39+D48*$C$40</f>
        <v>3.1310772410867305</v>
      </c>
      <c r="F48" s="43">
        <f>(10)^E48</f>
        <v>1352.3130563300926</v>
      </c>
      <c r="G48" s="42">
        <f>D48+(D48^2-1)*($C$41/6)+((D48^3-6*D48)*($C$41/6)^2)/3-(D48^2-1)*($C$41/6)^3+D48*($C$41/6)^4+1/3*($C$41/6)^5</f>
        <v>7.5911909107708453E-2</v>
      </c>
      <c r="H48" s="42">
        <f>$C$39+G48*$C$40</f>
        <v>3.1370350830674827</v>
      </c>
      <c r="I48" s="43">
        <f>(10)^H48</f>
        <v>1370.9925128635991</v>
      </c>
      <c r="J48" s="44">
        <f t="shared" ref="J48:J59" si="2">-LN(LN(A48/(A48-1)))</f>
        <v>0.36651292058166435</v>
      </c>
      <c r="K48" s="43">
        <f t="shared" ref="K48:K59" si="3">B$39-(0.577*SQRT(6)*B$40/PI())+(SQRT(6)*B$40/PI())*J48</f>
        <v>1333.6379986843704</v>
      </c>
      <c r="L48" s="85"/>
    </row>
    <row r="49" spans="1:12" ht="15" x14ac:dyDescent="0.3">
      <c r="A49" s="41">
        <v>2.33</v>
      </c>
      <c r="B49" s="42">
        <f>1/A49</f>
        <v>0.42918454935622319</v>
      </c>
      <c r="C49" s="42">
        <f>SQRT(LN(1/B49^2))</f>
        <v>1.3006677266524369</v>
      </c>
      <c r="D49" s="42">
        <f t="shared" si="1"/>
        <v>0.17808428211113303</v>
      </c>
      <c r="E49" s="42">
        <f>$C$39+D49*$C$40</f>
        <v>3.1450521607886661</v>
      </c>
      <c r="F49" s="43">
        <f>(10)^E49</f>
        <v>1396.5360814671876</v>
      </c>
      <c r="G49" s="42">
        <f>D49+(D49^2-1)*($C$41/6)+((D49^3-6*D49)*($C$41/6)^2)/3-(D49^2-1)*($C$41/6)^3+D49*($C$41/6)^4+1/3*($C$41/6)^5</f>
        <v>0.24954429161799768</v>
      </c>
      <c r="H49" s="42">
        <f>$C$39+G49*$C$40</f>
        <v>3.1506593560933478</v>
      </c>
      <c r="I49" s="43">
        <f>(10)^H49</f>
        <v>1414.683721109458</v>
      </c>
      <c r="J49" s="44">
        <f t="shared" si="2"/>
        <v>0.57858831412193601</v>
      </c>
      <c r="K49" s="43">
        <f t="shared" si="3"/>
        <v>1373.2970216638953</v>
      </c>
      <c r="L49" s="85"/>
    </row>
    <row r="50" spans="1:12" ht="15" x14ac:dyDescent="0.3">
      <c r="A50" s="41">
        <v>5</v>
      </c>
      <c r="B50" s="42">
        <f>1/A50</f>
        <v>0.2</v>
      </c>
      <c r="C50" s="42">
        <f>SQRT(LN(1/B50^2))</f>
        <v>1.7941225779941015</v>
      </c>
      <c r="D50" s="42">
        <f t="shared" si="1"/>
        <v>0.84144534566621687</v>
      </c>
      <c r="E50" s="42">
        <f>$C$39+D50*$C$40</f>
        <v>3.1971035818078248</v>
      </c>
      <c r="F50" s="43">
        <f>(10)^E50</f>
        <v>1574.3583134793946</v>
      </c>
      <c r="G50" s="42">
        <f t="shared" ref="G50:G58" si="4">D50+(D50^2-1)*($C$41/6)+((D50^3-6*D50)*($C$41/6)^2)/3-(D50^2-1)*($C$41/6)^3+D50*($C$41/6)^4+1/3*($C$41/6)^5</f>
        <v>0.85498408351247912</v>
      </c>
      <c r="H50" s="42">
        <f>$C$39+G50*$C$40</f>
        <v>3.1981659151017432</v>
      </c>
      <c r="I50" s="43">
        <f>(10)^H50</f>
        <v>1578.2140854157904</v>
      </c>
      <c r="J50" s="44">
        <f t="shared" si="2"/>
        <v>1.4999399867595156</v>
      </c>
      <c r="K50" s="43">
        <f t="shared" si="3"/>
        <v>1545.5938004055492</v>
      </c>
      <c r="L50" s="85"/>
    </row>
    <row r="51" spans="1:12" ht="15" x14ac:dyDescent="0.3">
      <c r="A51" s="41">
        <v>10</v>
      </c>
      <c r="B51" s="42">
        <f>1/A51</f>
        <v>0.1</v>
      </c>
      <c r="C51" s="42">
        <f>SQRT(LN(1/B51^2))</f>
        <v>2.1459660262893472</v>
      </c>
      <c r="D51" s="42">
        <f t="shared" si="1"/>
        <v>1.2817193675751226</v>
      </c>
      <c r="E51" s="42">
        <f>$C$39+D51*$C$40</f>
        <v>3.2316502106909892</v>
      </c>
      <c r="F51" s="43">
        <f>(10)^E51</f>
        <v>1704.7088299448419</v>
      </c>
      <c r="G51" s="42">
        <f t="shared" si="4"/>
        <v>1.2220955553471948</v>
      </c>
      <c r="H51" s="42">
        <f>$C$39+G51*$C$40</f>
        <v>3.2269717567937848</v>
      </c>
      <c r="I51" s="43">
        <f>(10)^H51</f>
        <v>1686.4433483883608</v>
      </c>
      <c r="J51" s="44">
        <f t="shared" si="2"/>
        <v>2.2503673273124449</v>
      </c>
      <c r="K51" s="43">
        <f t="shared" si="3"/>
        <v>1685.92698402782</v>
      </c>
      <c r="L51" s="85"/>
    </row>
    <row r="52" spans="1:12" ht="15" x14ac:dyDescent="0.3">
      <c r="A52" s="41">
        <v>20</v>
      </c>
      <c r="B52" s="42">
        <f t="shared" ref="B52:B59" si="5">1/A52</f>
        <v>0.05</v>
      </c>
      <c r="C52" s="42">
        <f t="shared" ref="C52:C59" si="6">SQRT(LN(1/B52^2))</f>
        <v>2.4477468306808166</v>
      </c>
      <c r="D52" s="42">
        <f t="shared" si="1"/>
        <v>1.6452033739823797</v>
      </c>
      <c r="E52" s="42">
        <f t="shared" ref="E52:E59" si="7">$C$39+D52*$C$40</f>
        <v>3.2601714189600419</v>
      </c>
      <c r="F52" s="43">
        <f t="shared" ref="F52:F59" si="8">(10)^E52</f>
        <v>1820.4192485747451</v>
      </c>
      <c r="G52" s="42">
        <f t="shared" si="4"/>
        <v>1.5051352112732079</v>
      </c>
      <c r="H52" s="42">
        <f t="shared" ref="H52:H58" si="9">$C$39+G52*$C$40</f>
        <v>3.24918080267412</v>
      </c>
      <c r="I52" s="43">
        <f t="shared" ref="I52:I58" si="10">(10)^H52</f>
        <v>1774.9282537674003</v>
      </c>
      <c r="J52" s="44">
        <f t="shared" si="2"/>
        <v>2.9701952490421655</v>
      </c>
      <c r="K52" s="43">
        <f t="shared" si="3"/>
        <v>1820.5379429543755</v>
      </c>
      <c r="L52" s="85"/>
    </row>
    <row r="53" spans="1:12" ht="15" x14ac:dyDescent="0.3">
      <c r="A53" s="41">
        <v>50</v>
      </c>
      <c r="B53" s="42">
        <f t="shared" si="5"/>
        <v>0.02</v>
      </c>
      <c r="C53" s="42">
        <f t="shared" si="6"/>
        <v>2.7971496225365371</v>
      </c>
      <c r="D53" s="42">
        <f t="shared" si="1"/>
        <v>2.0541817439773808</v>
      </c>
      <c r="E53" s="42">
        <f t="shared" si="7"/>
        <v>3.2922623970018536</v>
      </c>
      <c r="F53" s="43">
        <f t="shared" si="8"/>
        <v>1960.0285482679385</v>
      </c>
      <c r="G53" s="42">
        <f t="shared" si="4"/>
        <v>1.8026727359098911</v>
      </c>
      <c r="H53" s="42">
        <f t="shared" si="9"/>
        <v>3.2725274412013543</v>
      </c>
      <c r="I53" s="43">
        <f t="shared" si="10"/>
        <v>1872.9554232804892</v>
      </c>
      <c r="J53" s="44">
        <f t="shared" si="2"/>
        <v>3.9019386579358333</v>
      </c>
      <c r="K53" s="43">
        <f t="shared" si="3"/>
        <v>1994.778021671088</v>
      </c>
      <c r="L53" s="85"/>
    </row>
    <row r="54" spans="1:12" ht="15" x14ac:dyDescent="0.3">
      <c r="A54" s="45">
        <v>100</v>
      </c>
      <c r="B54" s="46">
        <f t="shared" si="5"/>
        <v>0.01</v>
      </c>
      <c r="C54" s="46">
        <f t="shared" si="6"/>
        <v>3.0348542587702929</v>
      </c>
      <c r="D54" s="46">
        <f t="shared" si="1"/>
        <v>2.3267791744716506</v>
      </c>
      <c r="E54" s="46">
        <f t="shared" si="7"/>
        <v>3.3136520811466483</v>
      </c>
      <c r="F54" s="47">
        <f t="shared" si="8"/>
        <v>2058.979777402631</v>
      </c>
      <c r="G54" s="46">
        <f t="shared" si="4"/>
        <v>1.9890608292433625</v>
      </c>
      <c r="H54" s="46">
        <f t="shared" si="9"/>
        <v>3.2871526063671617</v>
      </c>
      <c r="I54" s="47">
        <f>(10)^H54</f>
        <v>1937.1025211702602</v>
      </c>
      <c r="J54" s="48">
        <f t="shared" si="2"/>
        <v>4.6001492267765736</v>
      </c>
      <c r="K54" s="47">
        <f t="shared" si="3"/>
        <v>2125.3464413823722</v>
      </c>
      <c r="L54" s="85"/>
    </row>
    <row r="55" spans="1:12" ht="15" x14ac:dyDescent="0.3">
      <c r="A55" s="41">
        <v>200</v>
      </c>
      <c r="B55" s="42">
        <f t="shared" si="5"/>
        <v>5.0000000000000001E-3</v>
      </c>
      <c r="C55" s="42">
        <f t="shared" si="6"/>
        <v>3.2552472614374586</v>
      </c>
      <c r="D55" s="42">
        <f t="shared" si="1"/>
        <v>2.5762304772515181</v>
      </c>
      <c r="E55" s="42">
        <f t="shared" si="7"/>
        <v>3.3332255766351944</v>
      </c>
      <c r="F55" s="43">
        <f t="shared" si="8"/>
        <v>2153.9002002338152</v>
      </c>
      <c r="G55" s="42">
        <f t="shared" si="4"/>
        <v>2.1514964407900505</v>
      </c>
      <c r="H55" s="42">
        <f t="shared" si="9"/>
        <v>3.2998983113378593</v>
      </c>
      <c r="I55" s="43">
        <f t="shared" si="10"/>
        <v>1994.7951853780989</v>
      </c>
      <c r="J55" s="44">
        <f t="shared" si="2"/>
        <v>5.295812142535044</v>
      </c>
      <c r="K55" s="43">
        <f t="shared" si="3"/>
        <v>2255.4384388626427</v>
      </c>
      <c r="L55" s="85"/>
    </row>
    <row r="56" spans="1:12" ht="15" x14ac:dyDescent="0.3">
      <c r="A56" s="41">
        <v>500</v>
      </c>
      <c r="B56" s="42">
        <f t="shared" si="5"/>
        <v>2E-3</v>
      </c>
      <c r="C56" s="42">
        <f t="shared" si="6"/>
        <v>3.5255093528232742</v>
      </c>
      <c r="D56" s="42">
        <f t="shared" si="1"/>
        <v>2.8785010937925581</v>
      </c>
      <c r="E56" s="42">
        <f t="shared" si="7"/>
        <v>3.3569436028922359</v>
      </c>
      <c r="F56" s="43">
        <f t="shared" si="8"/>
        <v>2274.8020077592519</v>
      </c>
      <c r="G56" s="42">
        <f t="shared" si="4"/>
        <v>2.3381870417116533</v>
      </c>
      <c r="H56" s="42">
        <f t="shared" si="9"/>
        <v>3.3145472131241838</v>
      </c>
      <c r="I56" s="43">
        <f t="shared" si="10"/>
        <v>2063.2279532432244</v>
      </c>
      <c r="J56" s="44">
        <f t="shared" si="2"/>
        <v>6.213607264087516</v>
      </c>
      <c r="K56" s="43">
        <f t="shared" si="3"/>
        <v>2427.0701270491995</v>
      </c>
      <c r="L56" s="85"/>
    </row>
    <row r="57" spans="1:12" ht="15" x14ac:dyDescent="0.3">
      <c r="A57" s="41">
        <v>1000</v>
      </c>
      <c r="B57" s="42">
        <f t="shared" si="5"/>
        <v>1E-3</v>
      </c>
      <c r="C57" s="42">
        <f t="shared" si="6"/>
        <v>3.7169221888498383</v>
      </c>
      <c r="D57" s="42">
        <f t="shared" si="1"/>
        <v>3.090517579776618</v>
      </c>
      <c r="E57" s="42">
        <f t="shared" si="7"/>
        <v>3.3735797306079869</v>
      </c>
      <c r="F57" s="43">
        <f t="shared" si="8"/>
        <v>2363.6312901426136</v>
      </c>
      <c r="G57" s="42">
        <f t="shared" si="4"/>
        <v>2.4626667544548901</v>
      </c>
      <c r="H57" s="42">
        <f t="shared" si="9"/>
        <v>3.3243146629977383</v>
      </c>
      <c r="I57" s="43">
        <f t="shared" si="10"/>
        <v>2110.1564854491958</v>
      </c>
      <c r="J57" s="44">
        <f t="shared" si="2"/>
        <v>6.907255070523628</v>
      </c>
      <c r="K57" s="43">
        <f t="shared" si="3"/>
        <v>2556.7852903027942</v>
      </c>
      <c r="L57" s="85"/>
    </row>
    <row r="58" spans="1:12" ht="15" x14ac:dyDescent="0.3">
      <c r="A58" s="41">
        <v>5000</v>
      </c>
      <c r="B58" s="42">
        <f t="shared" si="5"/>
        <v>2.0000000000000001E-4</v>
      </c>
      <c r="C58" s="42">
        <f t="shared" si="6"/>
        <v>4.1272734804992597</v>
      </c>
      <c r="D58" s="42">
        <f t="shared" si="1"/>
        <v>3.5402404913194201</v>
      </c>
      <c r="E58" s="42">
        <f t="shared" si="7"/>
        <v>3.408867777942608</v>
      </c>
      <c r="F58" s="43">
        <f t="shared" si="8"/>
        <v>2563.7033916840105</v>
      </c>
      <c r="G58" s="42">
        <f t="shared" si="4"/>
        <v>2.709615265649838</v>
      </c>
      <c r="H58" s="42">
        <f t="shared" si="9"/>
        <v>3.3436917739444909</v>
      </c>
      <c r="I58" s="43">
        <f t="shared" si="10"/>
        <v>2206.4382310925798</v>
      </c>
      <c r="J58" s="44">
        <f t="shared" si="2"/>
        <v>8.5170931830821246</v>
      </c>
      <c r="K58" s="43">
        <f t="shared" si="3"/>
        <v>2857.8320342625011</v>
      </c>
      <c r="L58" s="85"/>
    </row>
    <row r="59" spans="1:12" ht="15" x14ac:dyDescent="0.3">
      <c r="A59" s="41">
        <v>10000</v>
      </c>
      <c r="B59" s="42">
        <f t="shared" si="5"/>
        <v>1E-4</v>
      </c>
      <c r="C59" s="42">
        <f t="shared" si="6"/>
        <v>4.2919320525786944</v>
      </c>
      <c r="D59" s="42">
        <f t="shared" si="1"/>
        <v>3.7191205599951926</v>
      </c>
      <c r="E59" s="42">
        <f t="shared" si="7"/>
        <v>3.4229038169538204</v>
      </c>
      <c r="F59" s="43">
        <f t="shared" si="8"/>
        <v>2647.9136411604873</v>
      </c>
      <c r="G59" s="42">
        <f>D59+(D59^2-1)*($C$41/6)+((D59^3-6*D59)*($C$41/6)^2)/3-(D59^2-1)*($C$41/6)^3+D59*($C$41/6)^4+1/3*($C$41/6)^5</f>
        <v>2.8015655534535666</v>
      </c>
      <c r="H59" s="42">
        <f>$C$39+G59*$C$40</f>
        <v>3.350906763497322</v>
      </c>
      <c r="I59" s="43">
        <f>(10)^H59</f>
        <v>2243.4002477403246</v>
      </c>
      <c r="J59" s="44">
        <f t="shared" si="2"/>
        <v>9.2102903698935528</v>
      </c>
      <c r="K59" s="43">
        <f t="shared" si="3"/>
        <v>2987.462929682134</v>
      </c>
      <c r="L59" s="85"/>
    </row>
    <row r="60" spans="1:12" x14ac:dyDescent="0.3">
      <c r="L60" s="72"/>
    </row>
    <row r="61" spans="1:12" x14ac:dyDescent="0.3">
      <c r="A61" s="362"/>
      <c r="B61" s="362"/>
      <c r="C61" s="362"/>
      <c r="D61" s="362"/>
      <c r="E61" s="362"/>
      <c r="F61" s="362"/>
      <c r="G61" s="362"/>
      <c r="H61" s="362"/>
      <c r="I61" s="362"/>
      <c r="J61" s="73"/>
      <c r="K61" s="73"/>
      <c r="L61" s="72"/>
    </row>
    <row r="62" spans="1:12" x14ac:dyDescent="0.3">
      <c r="L62" s="72"/>
    </row>
    <row r="63" spans="1:12" x14ac:dyDescent="0.3">
      <c r="L63" s="72"/>
    </row>
    <row r="65" spans="1:11" ht="13.5" hidden="1" customHeight="1" x14ac:dyDescent="0.3">
      <c r="A65" s="362" t="s">
        <v>34</v>
      </c>
      <c r="B65" s="362"/>
      <c r="C65" s="362"/>
      <c r="D65" s="362"/>
      <c r="E65" s="362"/>
      <c r="F65" s="362"/>
      <c r="G65" s="362"/>
      <c r="H65" s="362"/>
      <c r="I65" s="362"/>
      <c r="J65" s="73"/>
      <c r="K65" s="73"/>
    </row>
    <row r="66" spans="1:11" hidden="1" x14ac:dyDescent="0.3">
      <c r="A66" s="73"/>
      <c r="B66" s="73"/>
      <c r="C66" s="73"/>
      <c r="D66" s="73"/>
      <c r="E66" s="362" t="s">
        <v>8</v>
      </c>
      <c r="F66" s="362"/>
      <c r="G66" s="363" t="s">
        <v>27</v>
      </c>
      <c r="H66" s="363"/>
      <c r="I66" s="73"/>
      <c r="J66" s="73"/>
      <c r="K66" s="73"/>
    </row>
    <row r="67" spans="1:11" hidden="1" x14ac:dyDescent="0.3">
      <c r="D67" s="29" t="s">
        <v>22</v>
      </c>
      <c r="E67" s="74"/>
      <c r="F67" s="74"/>
      <c r="G67" s="74"/>
    </row>
    <row r="68" spans="1:11" hidden="1" x14ac:dyDescent="0.3">
      <c r="D68" s="29" t="s">
        <v>74</v>
      </c>
      <c r="E68" s="74" t="e">
        <f>#REF!-#REF!</f>
        <v>#REF!</v>
      </c>
      <c r="F68" s="74"/>
      <c r="G68" s="74" t="e">
        <f>#REF!-#REF!</f>
        <v>#REF!</v>
      </c>
    </row>
    <row r="69" spans="1:11" hidden="1" x14ac:dyDescent="0.3">
      <c r="D69" s="29" t="s">
        <v>75</v>
      </c>
      <c r="E69" s="74">
        <f>D54-D48</f>
        <v>2.3267960357118298</v>
      </c>
      <c r="F69" s="74"/>
      <c r="G69" s="74">
        <f>G54-G48</f>
        <v>1.913148920135654</v>
      </c>
    </row>
    <row r="70" spans="1:11" hidden="1" x14ac:dyDescent="0.3">
      <c r="D70" s="29" t="s">
        <v>22</v>
      </c>
      <c r="E70" s="74" t="e">
        <f>E68/E69</f>
        <v>#REF!</v>
      </c>
      <c r="F70" s="74"/>
      <c r="G70" s="74" t="e">
        <f>G68/G69</f>
        <v>#REF!</v>
      </c>
    </row>
    <row r="71" spans="1:11" hidden="1" x14ac:dyDescent="0.3">
      <c r="D71" s="29" t="s">
        <v>76</v>
      </c>
      <c r="E71" s="74" t="e">
        <f>#REF!-D48*E70</f>
        <v>#REF!</v>
      </c>
      <c r="F71" s="74"/>
      <c r="G71" s="74" t="e">
        <f>#REF!-G48*G70</f>
        <v>#REF!</v>
      </c>
    </row>
    <row r="72" spans="1:11" hidden="1" x14ac:dyDescent="0.3">
      <c r="E72" s="74" t="e">
        <f>10^E71</f>
        <v>#REF!</v>
      </c>
      <c r="F72" s="74"/>
      <c r="G72" s="74" t="e">
        <f>10^G71</f>
        <v>#REF!</v>
      </c>
    </row>
    <row r="77" spans="1:11" x14ac:dyDescent="0.3">
      <c r="G77" s="75"/>
    </row>
  </sheetData>
  <mergeCells count="13">
    <mergeCell ref="A61:I61"/>
    <mergeCell ref="A65:I65"/>
    <mergeCell ref="E66:F66"/>
    <mergeCell ref="G66:H66"/>
    <mergeCell ref="A9:C9"/>
    <mergeCell ref="A38:C38"/>
    <mergeCell ref="A43:K43"/>
    <mergeCell ref="D44:K44"/>
    <mergeCell ref="A45:A46"/>
    <mergeCell ref="B45:C45"/>
    <mergeCell ref="D45:F45"/>
    <mergeCell ref="G45:I45"/>
    <mergeCell ref="J45:K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423B-A2EB-431A-9DF6-2EAF0E614371}">
  <sheetPr codeName="Sheet9"/>
  <dimension ref="A1:AE88"/>
  <sheetViews>
    <sheetView topLeftCell="A61" workbookViewId="0">
      <selection activeCell="J70" sqref="J70"/>
    </sheetView>
  </sheetViews>
  <sheetFormatPr defaultRowHeight="11.25" x14ac:dyDescent="0.2"/>
  <cols>
    <col min="1" max="1" width="12.7109375" style="393" customWidth="1"/>
    <col min="2" max="2" width="10.85546875" style="393" bestFit="1" customWidth="1"/>
    <col min="3" max="3" width="12.85546875" style="393" customWidth="1"/>
    <col min="4" max="4" width="6.140625" style="393" bestFit="1" customWidth="1"/>
    <col min="5" max="5" width="13.28515625" style="393" customWidth="1"/>
    <col min="6" max="6" width="9" style="393" customWidth="1"/>
    <col min="7" max="7" width="11" style="393" customWidth="1"/>
    <col min="8" max="8" width="7.28515625" style="393" customWidth="1"/>
    <col min="9" max="9" width="10.85546875" style="393" customWidth="1"/>
    <col min="10" max="10" width="7.140625" style="393" customWidth="1"/>
    <col min="11" max="11" width="8.5703125" style="393" bestFit="1" customWidth="1"/>
    <col min="12" max="12" width="8.85546875" style="393" customWidth="1"/>
    <col min="13" max="13" width="9.28515625" style="393" bestFit="1" customWidth="1"/>
    <col min="14" max="14" width="10.28515625" style="393" bestFit="1" customWidth="1"/>
    <col min="15" max="15" width="12.140625" style="393" customWidth="1"/>
    <col min="16" max="17" width="9.28515625" style="393" bestFit="1" customWidth="1"/>
    <col min="18" max="18" width="11.28515625" style="393" bestFit="1" customWidth="1"/>
    <col min="19" max="256" width="9.140625" style="393"/>
    <col min="257" max="257" width="12.7109375" style="393" customWidth="1"/>
    <col min="258" max="258" width="10.85546875" style="393" bestFit="1" customWidth="1"/>
    <col min="259" max="259" width="12.85546875" style="393" customWidth="1"/>
    <col min="260" max="260" width="6.140625" style="393" bestFit="1" customWidth="1"/>
    <col min="261" max="261" width="13.28515625" style="393" customWidth="1"/>
    <col min="262" max="262" width="9" style="393" customWidth="1"/>
    <col min="263" max="263" width="11" style="393" customWidth="1"/>
    <col min="264" max="264" width="7.28515625" style="393" customWidth="1"/>
    <col min="265" max="265" width="10.85546875" style="393" customWidth="1"/>
    <col min="266" max="266" width="6" style="393" customWidth="1"/>
    <col min="267" max="267" width="8.5703125" style="393" bestFit="1" customWidth="1"/>
    <col min="268" max="268" width="8.85546875" style="393" customWidth="1"/>
    <col min="269" max="269" width="9.28515625" style="393" bestFit="1" customWidth="1"/>
    <col min="270" max="270" width="10.28515625" style="393" bestFit="1" customWidth="1"/>
    <col min="271" max="271" width="12.140625" style="393" customWidth="1"/>
    <col min="272" max="273" width="9.28515625" style="393" bestFit="1" customWidth="1"/>
    <col min="274" max="274" width="11.28515625" style="393" bestFit="1" customWidth="1"/>
    <col min="275" max="512" width="9.140625" style="393"/>
    <col min="513" max="513" width="12.7109375" style="393" customWidth="1"/>
    <col min="514" max="514" width="10.85546875" style="393" bestFit="1" customWidth="1"/>
    <col min="515" max="515" width="12.85546875" style="393" customWidth="1"/>
    <col min="516" max="516" width="6.140625" style="393" bestFit="1" customWidth="1"/>
    <col min="517" max="517" width="13.28515625" style="393" customWidth="1"/>
    <col min="518" max="518" width="9" style="393" customWidth="1"/>
    <col min="519" max="519" width="11" style="393" customWidth="1"/>
    <col min="520" max="520" width="7.28515625" style="393" customWidth="1"/>
    <col min="521" max="521" width="10.85546875" style="393" customWidth="1"/>
    <col min="522" max="522" width="6" style="393" customWidth="1"/>
    <col min="523" max="523" width="8.5703125" style="393" bestFit="1" customWidth="1"/>
    <col min="524" max="524" width="8.85546875" style="393" customWidth="1"/>
    <col min="525" max="525" width="9.28515625" style="393" bestFit="1" customWidth="1"/>
    <col min="526" max="526" width="10.28515625" style="393" bestFit="1" customWidth="1"/>
    <col min="527" max="527" width="12.140625" style="393" customWidth="1"/>
    <col min="528" max="529" width="9.28515625" style="393" bestFit="1" customWidth="1"/>
    <col min="530" max="530" width="11.28515625" style="393" bestFit="1" customWidth="1"/>
    <col min="531" max="768" width="9.140625" style="393"/>
    <col min="769" max="769" width="12.7109375" style="393" customWidth="1"/>
    <col min="770" max="770" width="10.85546875" style="393" bestFit="1" customWidth="1"/>
    <col min="771" max="771" width="12.85546875" style="393" customWidth="1"/>
    <col min="772" max="772" width="6.140625" style="393" bestFit="1" customWidth="1"/>
    <col min="773" max="773" width="13.28515625" style="393" customWidth="1"/>
    <col min="774" max="774" width="9" style="393" customWidth="1"/>
    <col min="775" max="775" width="11" style="393" customWidth="1"/>
    <col min="776" max="776" width="7.28515625" style="393" customWidth="1"/>
    <col min="777" max="777" width="10.85546875" style="393" customWidth="1"/>
    <col min="778" max="778" width="6" style="393" customWidth="1"/>
    <col min="779" max="779" width="8.5703125" style="393" bestFit="1" customWidth="1"/>
    <col min="780" max="780" width="8.85546875" style="393" customWidth="1"/>
    <col min="781" max="781" width="9.28515625" style="393" bestFit="1" customWidth="1"/>
    <col min="782" max="782" width="10.28515625" style="393" bestFit="1" customWidth="1"/>
    <col min="783" max="783" width="12.140625" style="393" customWidth="1"/>
    <col min="784" max="785" width="9.28515625" style="393" bestFit="1" customWidth="1"/>
    <col min="786" max="786" width="11.28515625" style="393" bestFit="1" customWidth="1"/>
    <col min="787" max="1024" width="9.140625" style="393"/>
    <col min="1025" max="1025" width="12.7109375" style="393" customWidth="1"/>
    <col min="1026" max="1026" width="10.85546875" style="393" bestFit="1" customWidth="1"/>
    <col min="1027" max="1027" width="12.85546875" style="393" customWidth="1"/>
    <col min="1028" max="1028" width="6.140625" style="393" bestFit="1" customWidth="1"/>
    <col min="1029" max="1029" width="13.28515625" style="393" customWidth="1"/>
    <col min="1030" max="1030" width="9" style="393" customWidth="1"/>
    <col min="1031" max="1031" width="11" style="393" customWidth="1"/>
    <col min="1032" max="1032" width="7.28515625" style="393" customWidth="1"/>
    <col min="1033" max="1033" width="10.85546875" style="393" customWidth="1"/>
    <col min="1034" max="1034" width="6" style="393" customWidth="1"/>
    <col min="1035" max="1035" width="8.5703125" style="393" bestFit="1" customWidth="1"/>
    <col min="1036" max="1036" width="8.85546875" style="393" customWidth="1"/>
    <col min="1037" max="1037" width="9.28515625" style="393" bestFit="1" customWidth="1"/>
    <col min="1038" max="1038" width="10.28515625" style="393" bestFit="1" customWidth="1"/>
    <col min="1039" max="1039" width="12.140625" style="393" customWidth="1"/>
    <col min="1040" max="1041" width="9.28515625" style="393" bestFit="1" customWidth="1"/>
    <col min="1042" max="1042" width="11.28515625" style="393" bestFit="1" customWidth="1"/>
    <col min="1043" max="1280" width="9.140625" style="393"/>
    <col min="1281" max="1281" width="12.7109375" style="393" customWidth="1"/>
    <col min="1282" max="1282" width="10.85546875" style="393" bestFit="1" customWidth="1"/>
    <col min="1283" max="1283" width="12.85546875" style="393" customWidth="1"/>
    <col min="1284" max="1284" width="6.140625" style="393" bestFit="1" customWidth="1"/>
    <col min="1285" max="1285" width="13.28515625" style="393" customWidth="1"/>
    <col min="1286" max="1286" width="9" style="393" customWidth="1"/>
    <col min="1287" max="1287" width="11" style="393" customWidth="1"/>
    <col min="1288" max="1288" width="7.28515625" style="393" customWidth="1"/>
    <col min="1289" max="1289" width="10.85546875" style="393" customWidth="1"/>
    <col min="1290" max="1290" width="6" style="393" customWidth="1"/>
    <col min="1291" max="1291" width="8.5703125" style="393" bestFit="1" customWidth="1"/>
    <col min="1292" max="1292" width="8.85546875" style="393" customWidth="1"/>
    <col min="1293" max="1293" width="9.28515625" style="393" bestFit="1" customWidth="1"/>
    <col min="1294" max="1294" width="10.28515625" style="393" bestFit="1" customWidth="1"/>
    <col min="1295" max="1295" width="12.140625" style="393" customWidth="1"/>
    <col min="1296" max="1297" width="9.28515625" style="393" bestFit="1" customWidth="1"/>
    <col min="1298" max="1298" width="11.28515625" style="393" bestFit="1" customWidth="1"/>
    <col min="1299" max="1536" width="9.140625" style="393"/>
    <col min="1537" max="1537" width="12.7109375" style="393" customWidth="1"/>
    <col min="1538" max="1538" width="10.85546875" style="393" bestFit="1" customWidth="1"/>
    <col min="1539" max="1539" width="12.85546875" style="393" customWidth="1"/>
    <col min="1540" max="1540" width="6.140625" style="393" bestFit="1" customWidth="1"/>
    <col min="1541" max="1541" width="13.28515625" style="393" customWidth="1"/>
    <col min="1542" max="1542" width="9" style="393" customWidth="1"/>
    <col min="1543" max="1543" width="11" style="393" customWidth="1"/>
    <col min="1544" max="1544" width="7.28515625" style="393" customWidth="1"/>
    <col min="1545" max="1545" width="10.85546875" style="393" customWidth="1"/>
    <col min="1546" max="1546" width="6" style="393" customWidth="1"/>
    <col min="1547" max="1547" width="8.5703125" style="393" bestFit="1" customWidth="1"/>
    <col min="1548" max="1548" width="8.85546875" style="393" customWidth="1"/>
    <col min="1549" max="1549" width="9.28515625" style="393" bestFit="1" customWidth="1"/>
    <col min="1550" max="1550" width="10.28515625" style="393" bestFit="1" customWidth="1"/>
    <col min="1551" max="1551" width="12.140625" style="393" customWidth="1"/>
    <col min="1552" max="1553" width="9.28515625" style="393" bestFit="1" customWidth="1"/>
    <col min="1554" max="1554" width="11.28515625" style="393" bestFit="1" customWidth="1"/>
    <col min="1555" max="1792" width="9.140625" style="393"/>
    <col min="1793" max="1793" width="12.7109375" style="393" customWidth="1"/>
    <col min="1794" max="1794" width="10.85546875" style="393" bestFit="1" customWidth="1"/>
    <col min="1795" max="1795" width="12.85546875" style="393" customWidth="1"/>
    <col min="1796" max="1796" width="6.140625" style="393" bestFit="1" customWidth="1"/>
    <col min="1797" max="1797" width="13.28515625" style="393" customWidth="1"/>
    <col min="1798" max="1798" width="9" style="393" customWidth="1"/>
    <col min="1799" max="1799" width="11" style="393" customWidth="1"/>
    <col min="1800" max="1800" width="7.28515625" style="393" customWidth="1"/>
    <col min="1801" max="1801" width="10.85546875" style="393" customWidth="1"/>
    <col min="1802" max="1802" width="6" style="393" customWidth="1"/>
    <col min="1803" max="1803" width="8.5703125" style="393" bestFit="1" customWidth="1"/>
    <col min="1804" max="1804" width="8.85546875" style="393" customWidth="1"/>
    <col min="1805" max="1805" width="9.28515625" style="393" bestFit="1" customWidth="1"/>
    <col min="1806" max="1806" width="10.28515625" style="393" bestFit="1" customWidth="1"/>
    <col min="1807" max="1807" width="12.140625" style="393" customWidth="1"/>
    <col min="1808" max="1809" width="9.28515625" style="393" bestFit="1" customWidth="1"/>
    <col min="1810" max="1810" width="11.28515625" style="393" bestFit="1" customWidth="1"/>
    <col min="1811" max="2048" width="9.140625" style="393"/>
    <col min="2049" max="2049" width="12.7109375" style="393" customWidth="1"/>
    <col min="2050" max="2050" width="10.85546875" style="393" bestFit="1" customWidth="1"/>
    <col min="2051" max="2051" width="12.85546875" style="393" customWidth="1"/>
    <col min="2052" max="2052" width="6.140625" style="393" bestFit="1" customWidth="1"/>
    <col min="2053" max="2053" width="13.28515625" style="393" customWidth="1"/>
    <col min="2054" max="2054" width="9" style="393" customWidth="1"/>
    <col min="2055" max="2055" width="11" style="393" customWidth="1"/>
    <col min="2056" max="2056" width="7.28515625" style="393" customWidth="1"/>
    <col min="2057" max="2057" width="10.85546875" style="393" customWidth="1"/>
    <col min="2058" max="2058" width="6" style="393" customWidth="1"/>
    <col min="2059" max="2059" width="8.5703125" style="393" bestFit="1" customWidth="1"/>
    <col min="2060" max="2060" width="8.85546875" style="393" customWidth="1"/>
    <col min="2061" max="2061" width="9.28515625" style="393" bestFit="1" customWidth="1"/>
    <col min="2062" max="2062" width="10.28515625" style="393" bestFit="1" customWidth="1"/>
    <col min="2063" max="2063" width="12.140625" style="393" customWidth="1"/>
    <col min="2064" max="2065" width="9.28515625" style="393" bestFit="1" customWidth="1"/>
    <col min="2066" max="2066" width="11.28515625" style="393" bestFit="1" customWidth="1"/>
    <col min="2067" max="2304" width="9.140625" style="393"/>
    <col min="2305" max="2305" width="12.7109375" style="393" customWidth="1"/>
    <col min="2306" max="2306" width="10.85546875" style="393" bestFit="1" customWidth="1"/>
    <col min="2307" max="2307" width="12.85546875" style="393" customWidth="1"/>
    <col min="2308" max="2308" width="6.140625" style="393" bestFit="1" customWidth="1"/>
    <col min="2309" max="2309" width="13.28515625" style="393" customWidth="1"/>
    <col min="2310" max="2310" width="9" style="393" customWidth="1"/>
    <col min="2311" max="2311" width="11" style="393" customWidth="1"/>
    <col min="2312" max="2312" width="7.28515625" style="393" customWidth="1"/>
    <col min="2313" max="2313" width="10.85546875" style="393" customWidth="1"/>
    <col min="2314" max="2314" width="6" style="393" customWidth="1"/>
    <col min="2315" max="2315" width="8.5703125" style="393" bestFit="1" customWidth="1"/>
    <col min="2316" max="2316" width="8.85546875" style="393" customWidth="1"/>
    <col min="2317" max="2317" width="9.28515625" style="393" bestFit="1" customWidth="1"/>
    <col min="2318" max="2318" width="10.28515625" style="393" bestFit="1" customWidth="1"/>
    <col min="2319" max="2319" width="12.140625" style="393" customWidth="1"/>
    <col min="2320" max="2321" width="9.28515625" style="393" bestFit="1" customWidth="1"/>
    <col min="2322" max="2322" width="11.28515625" style="393" bestFit="1" customWidth="1"/>
    <col min="2323" max="2560" width="9.140625" style="393"/>
    <col min="2561" max="2561" width="12.7109375" style="393" customWidth="1"/>
    <col min="2562" max="2562" width="10.85546875" style="393" bestFit="1" customWidth="1"/>
    <col min="2563" max="2563" width="12.85546875" style="393" customWidth="1"/>
    <col min="2564" max="2564" width="6.140625" style="393" bestFit="1" customWidth="1"/>
    <col min="2565" max="2565" width="13.28515625" style="393" customWidth="1"/>
    <col min="2566" max="2566" width="9" style="393" customWidth="1"/>
    <col min="2567" max="2567" width="11" style="393" customWidth="1"/>
    <col min="2568" max="2568" width="7.28515625" style="393" customWidth="1"/>
    <col min="2569" max="2569" width="10.85546875" style="393" customWidth="1"/>
    <col min="2570" max="2570" width="6" style="393" customWidth="1"/>
    <col min="2571" max="2571" width="8.5703125" style="393" bestFit="1" customWidth="1"/>
    <col min="2572" max="2572" width="8.85546875" style="393" customWidth="1"/>
    <col min="2573" max="2573" width="9.28515625" style="393" bestFit="1" customWidth="1"/>
    <col min="2574" max="2574" width="10.28515625" style="393" bestFit="1" customWidth="1"/>
    <col min="2575" max="2575" width="12.140625" style="393" customWidth="1"/>
    <col min="2576" max="2577" width="9.28515625" style="393" bestFit="1" customWidth="1"/>
    <col min="2578" max="2578" width="11.28515625" style="393" bestFit="1" customWidth="1"/>
    <col min="2579" max="2816" width="9.140625" style="393"/>
    <col min="2817" max="2817" width="12.7109375" style="393" customWidth="1"/>
    <col min="2818" max="2818" width="10.85546875" style="393" bestFit="1" customWidth="1"/>
    <col min="2819" max="2819" width="12.85546875" style="393" customWidth="1"/>
    <col min="2820" max="2820" width="6.140625" style="393" bestFit="1" customWidth="1"/>
    <col min="2821" max="2821" width="13.28515625" style="393" customWidth="1"/>
    <col min="2822" max="2822" width="9" style="393" customWidth="1"/>
    <col min="2823" max="2823" width="11" style="393" customWidth="1"/>
    <col min="2824" max="2824" width="7.28515625" style="393" customWidth="1"/>
    <col min="2825" max="2825" width="10.85546875" style="393" customWidth="1"/>
    <col min="2826" max="2826" width="6" style="393" customWidth="1"/>
    <col min="2827" max="2827" width="8.5703125" style="393" bestFit="1" customWidth="1"/>
    <col min="2828" max="2828" width="8.85546875" style="393" customWidth="1"/>
    <col min="2829" max="2829" width="9.28515625" style="393" bestFit="1" customWidth="1"/>
    <col min="2830" max="2830" width="10.28515625" style="393" bestFit="1" customWidth="1"/>
    <col min="2831" max="2831" width="12.140625" style="393" customWidth="1"/>
    <col min="2832" max="2833" width="9.28515625" style="393" bestFit="1" customWidth="1"/>
    <col min="2834" max="2834" width="11.28515625" style="393" bestFit="1" customWidth="1"/>
    <col min="2835" max="3072" width="9.140625" style="393"/>
    <col min="3073" max="3073" width="12.7109375" style="393" customWidth="1"/>
    <col min="3074" max="3074" width="10.85546875" style="393" bestFit="1" customWidth="1"/>
    <col min="3075" max="3075" width="12.85546875" style="393" customWidth="1"/>
    <col min="3076" max="3076" width="6.140625" style="393" bestFit="1" customWidth="1"/>
    <col min="3077" max="3077" width="13.28515625" style="393" customWidth="1"/>
    <col min="3078" max="3078" width="9" style="393" customWidth="1"/>
    <col min="3079" max="3079" width="11" style="393" customWidth="1"/>
    <col min="3080" max="3080" width="7.28515625" style="393" customWidth="1"/>
    <col min="3081" max="3081" width="10.85546875" style="393" customWidth="1"/>
    <col min="3082" max="3082" width="6" style="393" customWidth="1"/>
    <col min="3083" max="3083" width="8.5703125" style="393" bestFit="1" customWidth="1"/>
    <col min="3084" max="3084" width="8.85546875" style="393" customWidth="1"/>
    <col min="3085" max="3085" width="9.28515625" style="393" bestFit="1" customWidth="1"/>
    <col min="3086" max="3086" width="10.28515625" style="393" bestFit="1" customWidth="1"/>
    <col min="3087" max="3087" width="12.140625" style="393" customWidth="1"/>
    <col min="3088" max="3089" width="9.28515625" style="393" bestFit="1" customWidth="1"/>
    <col min="3090" max="3090" width="11.28515625" style="393" bestFit="1" customWidth="1"/>
    <col min="3091" max="3328" width="9.140625" style="393"/>
    <col min="3329" max="3329" width="12.7109375" style="393" customWidth="1"/>
    <col min="3330" max="3330" width="10.85546875" style="393" bestFit="1" customWidth="1"/>
    <col min="3331" max="3331" width="12.85546875" style="393" customWidth="1"/>
    <col min="3332" max="3332" width="6.140625" style="393" bestFit="1" customWidth="1"/>
    <col min="3333" max="3333" width="13.28515625" style="393" customWidth="1"/>
    <col min="3334" max="3334" width="9" style="393" customWidth="1"/>
    <col min="3335" max="3335" width="11" style="393" customWidth="1"/>
    <col min="3336" max="3336" width="7.28515625" style="393" customWidth="1"/>
    <col min="3337" max="3337" width="10.85546875" style="393" customWidth="1"/>
    <col min="3338" max="3338" width="6" style="393" customWidth="1"/>
    <col min="3339" max="3339" width="8.5703125" style="393" bestFit="1" customWidth="1"/>
    <col min="3340" max="3340" width="8.85546875" style="393" customWidth="1"/>
    <col min="3341" max="3341" width="9.28515625" style="393" bestFit="1" customWidth="1"/>
    <col min="3342" max="3342" width="10.28515625" style="393" bestFit="1" customWidth="1"/>
    <col min="3343" max="3343" width="12.140625" style="393" customWidth="1"/>
    <col min="3344" max="3345" width="9.28515625" style="393" bestFit="1" customWidth="1"/>
    <col min="3346" max="3346" width="11.28515625" style="393" bestFit="1" customWidth="1"/>
    <col min="3347" max="3584" width="9.140625" style="393"/>
    <col min="3585" max="3585" width="12.7109375" style="393" customWidth="1"/>
    <col min="3586" max="3586" width="10.85546875" style="393" bestFit="1" customWidth="1"/>
    <col min="3587" max="3587" width="12.85546875" style="393" customWidth="1"/>
    <col min="3588" max="3588" width="6.140625" style="393" bestFit="1" customWidth="1"/>
    <col min="3589" max="3589" width="13.28515625" style="393" customWidth="1"/>
    <col min="3590" max="3590" width="9" style="393" customWidth="1"/>
    <col min="3591" max="3591" width="11" style="393" customWidth="1"/>
    <col min="3592" max="3592" width="7.28515625" style="393" customWidth="1"/>
    <col min="3593" max="3593" width="10.85546875" style="393" customWidth="1"/>
    <col min="3594" max="3594" width="6" style="393" customWidth="1"/>
    <col min="3595" max="3595" width="8.5703125" style="393" bestFit="1" customWidth="1"/>
    <col min="3596" max="3596" width="8.85546875" style="393" customWidth="1"/>
    <col min="3597" max="3597" width="9.28515625" style="393" bestFit="1" customWidth="1"/>
    <col min="3598" max="3598" width="10.28515625" style="393" bestFit="1" customWidth="1"/>
    <col min="3599" max="3599" width="12.140625" style="393" customWidth="1"/>
    <col min="3600" max="3601" width="9.28515625" style="393" bestFit="1" customWidth="1"/>
    <col min="3602" max="3602" width="11.28515625" style="393" bestFit="1" customWidth="1"/>
    <col min="3603" max="3840" width="9.140625" style="393"/>
    <col min="3841" max="3841" width="12.7109375" style="393" customWidth="1"/>
    <col min="3842" max="3842" width="10.85546875" style="393" bestFit="1" customWidth="1"/>
    <col min="3843" max="3843" width="12.85546875" style="393" customWidth="1"/>
    <col min="3844" max="3844" width="6.140625" style="393" bestFit="1" customWidth="1"/>
    <col min="3845" max="3845" width="13.28515625" style="393" customWidth="1"/>
    <col min="3846" max="3846" width="9" style="393" customWidth="1"/>
    <col min="3847" max="3847" width="11" style="393" customWidth="1"/>
    <col min="3848" max="3848" width="7.28515625" style="393" customWidth="1"/>
    <col min="3849" max="3849" width="10.85546875" style="393" customWidth="1"/>
    <col min="3850" max="3850" width="6" style="393" customWidth="1"/>
    <col min="3851" max="3851" width="8.5703125" style="393" bestFit="1" customWidth="1"/>
    <col min="3852" max="3852" width="8.85546875" style="393" customWidth="1"/>
    <col min="3853" max="3853" width="9.28515625" style="393" bestFit="1" customWidth="1"/>
    <col min="3854" max="3854" width="10.28515625" style="393" bestFit="1" customWidth="1"/>
    <col min="3855" max="3855" width="12.140625" style="393" customWidth="1"/>
    <col min="3856" max="3857" width="9.28515625" style="393" bestFit="1" customWidth="1"/>
    <col min="3858" max="3858" width="11.28515625" style="393" bestFit="1" customWidth="1"/>
    <col min="3859" max="4096" width="9.140625" style="393"/>
    <col min="4097" max="4097" width="12.7109375" style="393" customWidth="1"/>
    <col min="4098" max="4098" width="10.85546875" style="393" bestFit="1" customWidth="1"/>
    <col min="4099" max="4099" width="12.85546875" style="393" customWidth="1"/>
    <col min="4100" max="4100" width="6.140625" style="393" bestFit="1" customWidth="1"/>
    <col min="4101" max="4101" width="13.28515625" style="393" customWidth="1"/>
    <col min="4102" max="4102" width="9" style="393" customWidth="1"/>
    <col min="4103" max="4103" width="11" style="393" customWidth="1"/>
    <col min="4104" max="4104" width="7.28515625" style="393" customWidth="1"/>
    <col min="4105" max="4105" width="10.85546875" style="393" customWidth="1"/>
    <col min="4106" max="4106" width="6" style="393" customWidth="1"/>
    <col min="4107" max="4107" width="8.5703125" style="393" bestFit="1" customWidth="1"/>
    <col min="4108" max="4108" width="8.85546875" style="393" customWidth="1"/>
    <col min="4109" max="4109" width="9.28515625" style="393" bestFit="1" customWidth="1"/>
    <col min="4110" max="4110" width="10.28515625" style="393" bestFit="1" customWidth="1"/>
    <col min="4111" max="4111" width="12.140625" style="393" customWidth="1"/>
    <col min="4112" max="4113" width="9.28515625" style="393" bestFit="1" customWidth="1"/>
    <col min="4114" max="4114" width="11.28515625" style="393" bestFit="1" customWidth="1"/>
    <col min="4115" max="4352" width="9.140625" style="393"/>
    <col min="4353" max="4353" width="12.7109375" style="393" customWidth="1"/>
    <col min="4354" max="4354" width="10.85546875" style="393" bestFit="1" customWidth="1"/>
    <col min="4355" max="4355" width="12.85546875" style="393" customWidth="1"/>
    <col min="4356" max="4356" width="6.140625" style="393" bestFit="1" customWidth="1"/>
    <col min="4357" max="4357" width="13.28515625" style="393" customWidth="1"/>
    <col min="4358" max="4358" width="9" style="393" customWidth="1"/>
    <col min="4359" max="4359" width="11" style="393" customWidth="1"/>
    <col min="4360" max="4360" width="7.28515625" style="393" customWidth="1"/>
    <col min="4361" max="4361" width="10.85546875" style="393" customWidth="1"/>
    <col min="4362" max="4362" width="6" style="393" customWidth="1"/>
    <col min="4363" max="4363" width="8.5703125" style="393" bestFit="1" customWidth="1"/>
    <col min="4364" max="4364" width="8.85546875" style="393" customWidth="1"/>
    <col min="4365" max="4365" width="9.28515625" style="393" bestFit="1" customWidth="1"/>
    <col min="4366" max="4366" width="10.28515625" style="393" bestFit="1" customWidth="1"/>
    <col min="4367" max="4367" width="12.140625" style="393" customWidth="1"/>
    <col min="4368" max="4369" width="9.28515625" style="393" bestFit="1" customWidth="1"/>
    <col min="4370" max="4370" width="11.28515625" style="393" bestFit="1" customWidth="1"/>
    <col min="4371" max="4608" width="9.140625" style="393"/>
    <col min="4609" max="4609" width="12.7109375" style="393" customWidth="1"/>
    <col min="4610" max="4610" width="10.85546875" style="393" bestFit="1" customWidth="1"/>
    <col min="4611" max="4611" width="12.85546875" style="393" customWidth="1"/>
    <col min="4612" max="4612" width="6.140625" style="393" bestFit="1" customWidth="1"/>
    <col min="4613" max="4613" width="13.28515625" style="393" customWidth="1"/>
    <col min="4614" max="4614" width="9" style="393" customWidth="1"/>
    <col min="4615" max="4615" width="11" style="393" customWidth="1"/>
    <col min="4616" max="4616" width="7.28515625" style="393" customWidth="1"/>
    <col min="4617" max="4617" width="10.85546875" style="393" customWidth="1"/>
    <col min="4618" max="4618" width="6" style="393" customWidth="1"/>
    <col min="4619" max="4619" width="8.5703125" style="393" bestFit="1" customWidth="1"/>
    <col min="4620" max="4620" width="8.85546875" style="393" customWidth="1"/>
    <col min="4621" max="4621" width="9.28515625" style="393" bestFit="1" customWidth="1"/>
    <col min="4622" max="4622" width="10.28515625" style="393" bestFit="1" customWidth="1"/>
    <col min="4623" max="4623" width="12.140625" style="393" customWidth="1"/>
    <col min="4624" max="4625" width="9.28515625" style="393" bestFit="1" customWidth="1"/>
    <col min="4626" max="4626" width="11.28515625" style="393" bestFit="1" customWidth="1"/>
    <col min="4627" max="4864" width="9.140625" style="393"/>
    <col min="4865" max="4865" width="12.7109375" style="393" customWidth="1"/>
    <col min="4866" max="4866" width="10.85546875" style="393" bestFit="1" customWidth="1"/>
    <col min="4867" max="4867" width="12.85546875" style="393" customWidth="1"/>
    <col min="4868" max="4868" width="6.140625" style="393" bestFit="1" customWidth="1"/>
    <col min="4869" max="4869" width="13.28515625" style="393" customWidth="1"/>
    <col min="4870" max="4870" width="9" style="393" customWidth="1"/>
    <col min="4871" max="4871" width="11" style="393" customWidth="1"/>
    <col min="4872" max="4872" width="7.28515625" style="393" customWidth="1"/>
    <col min="4873" max="4873" width="10.85546875" style="393" customWidth="1"/>
    <col min="4874" max="4874" width="6" style="393" customWidth="1"/>
    <col min="4875" max="4875" width="8.5703125" style="393" bestFit="1" customWidth="1"/>
    <col min="4876" max="4876" width="8.85546875" style="393" customWidth="1"/>
    <col min="4877" max="4877" width="9.28515625" style="393" bestFit="1" customWidth="1"/>
    <col min="4878" max="4878" width="10.28515625" style="393" bestFit="1" customWidth="1"/>
    <col min="4879" max="4879" width="12.140625" style="393" customWidth="1"/>
    <col min="4880" max="4881" width="9.28515625" style="393" bestFit="1" customWidth="1"/>
    <col min="4882" max="4882" width="11.28515625" style="393" bestFit="1" customWidth="1"/>
    <col min="4883" max="5120" width="9.140625" style="393"/>
    <col min="5121" max="5121" width="12.7109375" style="393" customWidth="1"/>
    <col min="5122" max="5122" width="10.85546875" style="393" bestFit="1" customWidth="1"/>
    <col min="5123" max="5123" width="12.85546875" style="393" customWidth="1"/>
    <col min="5124" max="5124" width="6.140625" style="393" bestFit="1" customWidth="1"/>
    <col min="5125" max="5125" width="13.28515625" style="393" customWidth="1"/>
    <col min="5126" max="5126" width="9" style="393" customWidth="1"/>
    <col min="5127" max="5127" width="11" style="393" customWidth="1"/>
    <col min="5128" max="5128" width="7.28515625" style="393" customWidth="1"/>
    <col min="5129" max="5129" width="10.85546875" style="393" customWidth="1"/>
    <col min="5130" max="5130" width="6" style="393" customWidth="1"/>
    <col min="5131" max="5131" width="8.5703125" style="393" bestFit="1" customWidth="1"/>
    <col min="5132" max="5132" width="8.85546875" style="393" customWidth="1"/>
    <col min="5133" max="5133" width="9.28515625" style="393" bestFit="1" customWidth="1"/>
    <col min="5134" max="5134" width="10.28515625" style="393" bestFit="1" customWidth="1"/>
    <col min="5135" max="5135" width="12.140625" style="393" customWidth="1"/>
    <col min="5136" max="5137" width="9.28515625" style="393" bestFit="1" customWidth="1"/>
    <col min="5138" max="5138" width="11.28515625" style="393" bestFit="1" customWidth="1"/>
    <col min="5139" max="5376" width="9.140625" style="393"/>
    <col min="5377" max="5377" width="12.7109375" style="393" customWidth="1"/>
    <col min="5378" max="5378" width="10.85546875" style="393" bestFit="1" customWidth="1"/>
    <col min="5379" max="5379" width="12.85546875" style="393" customWidth="1"/>
    <col min="5380" max="5380" width="6.140625" style="393" bestFit="1" customWidth="1"/>
    <col min="5381" max="5381" width="13.28515625" style="393" customWidth="1"/>
    <col min="5382" max="5382" width="9" style="393" customWidth="1"/>
    <col min="5383" max="5383" width="11" style="393" customWidth="1"/>
    <col min="5384" max="5384" width="7.28515625" style="393" customWidth="1"/>
    <col min="5385" max="5385" width="10.85546875" style="393" customWidth="1"/>
    <col min="5386" max="5386" width="6" style="393" customWidth="1"/>
    <col min="5387" max="5387" width="8.5703125" style="393" bestFit="1" customWidth="1"/>
    <col min="5388" max="5388" width="8.85546875" style="393" customWidth="1"/>
    <col min="5389" max="5389" width="9.28515625" style="393" bestFit="1" customWidth="1"/>
    <col min="5390" max="5390" width="10.28515625" style="393" bestFit="1" customWidth="1"/>
    <col min="5391" max="5391" width="12.140625" style="393" customWidth="1"/>
    <col min="5392" max="5393" width="9.28515625" style="393" bestFit="1" customWidth="1"/>
    <col min="5394" max="5394" width="11.28515625" style="393" bestFit="1" customWidth="1"/>
    <col min="5395" max="5632" width="9.140625" style="393"/>
    <col min="5633" max="5633" width="12.7109375" style="393" customWidth="1"/>
    <col min="5634" max="5634" width="10.85546875" style="393" bestFit="1" customWidth="1"/>
    <col min="5635" max="5635" width="12.85546875" style="393" customWidth="1"/>
    <col min="5636" max="5636" width="6.140625" style="393" bestFit="1" customWidth="1"/>
    <col min="5637" max="5637" width="13.28515625" style="393" customWidth="1"/>
    <col min="5638" max="5638" width="9" style="393" customWidth="1"/>
    <col min="5639" max="5639" width="11" style="393" customWidth="1"/>
    <col min="5640" max="5640" width="7.28515625" style="393" customWidth="1"/>
    <col min="5641" max="5641" width="10.85546875" style="393" customWidth="1"/>
    <col min="5642" max="5642" width="6" style="393" customWidth="1"/>
    <col min="5643" max="5643" width="8.5703125" style="393" bestFit="1" customWidth="1"/>
    <col min="5644" max="5644" width="8.85546875" style="393" customWidth="1"/>
    <col min="5645" max="5645" width="9.28515625" style="393" bestFit="1" customWidth="1"/>
    <col min="5646" max="5646" width="10.28515625" style="393" bestFit="1" customWidth="1"/>
    <col min="5647" max="5647" width="12.140625" style="393" customWidth="1"/>
    <col min="5648" max="5649" width="9.28515625" style="393" bestFit="1" customWidth="1"/>
    <col min="5650" max="5650" width="11.28515625" style="393" bestFit="1" customWidth="1"/>
    <col min="5651" max="5888" width="9.140625" style="393"/>
    <col min="5889" max="5889" width="12.7109375" style="393" customWidth="1"/>
    <col min="5890" max="5890" width="10.85546875" style="393" bestFit="1" customWidth="1"/>
    <col min="5891" max="5891" width="12.85546875" style="393" customWidth="1"/>
    <col min="5892" max="5892" width="6.140625" style="393" bestFit="1" customWidth="1"/>
    <col min="5893" max="5893" width="13.28515625" style="393" customWidth="1"/>
    <col min="5894" max="5894" width="9" style="393" customWidth="1"/>
    <col min="5895" max="5895" width="11" style="393" customWidth="1"/>
    <col min="5896" max="5896" width="7.28515625" style="393" customWidth="1"/>
    <col min="5897" max="5897" width="10.85546875" style="393" customWidth="1"/>
    <col min="5898" max="5898" width="6" style="393" customWidth="1"/>
    <col min="5899" max="5899" width="8.5703125" style="393" bestFit="1" customWidth="1"/>
    <col min="5900" max="5900" width="8.85546875" style="393" customWidth="1"/>
    <col min="5901" max="5901" width="9.28515625" style="393" bestFit="1" customWidth="1"/>
    <col min="5902" max="5902" width="10.28515625" style="393" bestFit="1" customWidth="1"/>
    <col min="5903" max="5903" width="12.140625" style="393" customWidth="1"/>
    <col min="5904" max="5905" width="9.28515625" style="393" bestFit="1" customWidth="1"/>
    <col min="5906" max="5906" width="11.28515625" style="393" bestFit="1" customWidth="1"/>
    <col min="5907" max="6144" width="9.140625" style="393"/>
    <col min="6145" max="6145" width="12.7109375" style="393" customWidth="1"/>
    <col min="6146" max="6146" width="10.85546875" style="393" bestFit="1" customWidth="1"/>
    <col min="6147" max="6147" width="12.85546875" style="393" customWidth="1"/>
    <col min="6148" max="6148" width="6.140625" style="393" bestFit="1" customWidth="1"/>
    <col min="6149" max="6149" width="13.28515625" style="393" customWidth="1"/>
    <col min="6150" max="6150" width="9" style="393" customWidth="1"/>
    <col min="6151" max="6151" width="11" style="393" customWidth="1"/>
    <col min="6152" max="6152" width="7.28515625" style="393" customWidth="1"/>
    <col min="6153" max="6153" width="10.85546875" style="393" customWidth="1"/>
    <col min="6154" max="6154" width="6" style="393" customWidth="1"/>
    <col min="6155" max="6155" width="8.5703125" style="393" bestFit="1" customWidth="1"/>
    <col min="6156" max="6156" width="8.85546875" style="393" customWidth="1"/>
    <col min="6157" max="6157" width="9.28515625" style="393" bestFit="1" customWidth="1"/>
    <col min="6158" max="6158" width="10.28515625" style="393" bestFit="1" customWidth="1"/>
    <col min="6159" max="6159" width="12.140625" style="393" customWidth="1"/>
    <col min="6160" max="6161" width="9.28515625" style="393" bestFit="1" customWidth="1"/>
    <col min="6162" max="6162" width="11.28515625" style="393" bestFit="1" customWidth="1"/>
    <col min="6163" max="6400" width="9.140625" style="393"/>
    <col min="6401" max="6401" width="12.7109375" style="393" customWidth="1"/>
    <col min="6402" max="6402" width="10.85546875" style="393" bestFit="1" customWidth="1"/>
    <col min="6403" max="6403" width="12.85546875" style="393" customWidth="1"/>
    <col min="6404" max="6404" width="6.140625" style="393" bestFit="1" customWidth="1"/>
    <col min="6405" max="6405" width="13.28515625" style="393" customWidth="1"/>
    <col min="6406" max="6406" width="9" style="393" customWidth="1"/>
    <col min="6407" max="6407" width="11" style="393" customWidth="1"/>
    <col min="6408" max="6408" width="7.28515625" style="393" customWidth="1"/>
    <col min="6409" max="6409" width="10.85546875" style="393" customWidth="1"/>
    <col min="6410" max="6410" width="6" style="393" customWidth="1"/>
    <col min="6411" max="6411" width="8.5703125" style="393" bestFit="1" customWidth="1"/>
    <col min="6412" max="6412" width="8.85546875" style="393" customWidth="1"/>
    <col min="6413" max="6413" width="9.28515625" style="393" bestFit="1" customWidth="1"/>
    <col min="6414" max="6414" width="10.28515625" style="393" bestFit="1" customWidth="1"/>
    <col min="6415" max="6415" width="12.140625" style="393" customWidth="1"/>
    <col min="6416" max="6417" width="9.28515625" style="393" bestFit="1" customWidth="1"/>
    <col min="6418" max="6418" width="11.28515625" style="393" bestFit="1" customWidth="1"/>
    <col min="6419" max="6656" width="9.140625" style="393"/>
    <col min="6657" max="6657" width="12.7109375" style="393" customWidth="1"/>
    <col min="6658" max="6658" width="10.85546875" style="393" bestFit="1" customWidth="1"/>
    <col min="6659" max="6659" width="12.85546875" style="393" customWidth="1"/>
    <col min="6660" max="6660" width="6.140625" style="393" bestFit="1" customWidth="1"/>
    <col min="6661" max="6661" width="13.28515625" style="393" customWidth="1"/>
    <col min="6662" max="6662" width="9" style="393" customWidth="1"/>
    <col min="6663" max="6663" width="11" style="393" customWidth="1"/>
    <col min="6664" max="6664" width="7.28515625" style="393" customWidth="1"/>
    <col min="6665" max="6665" width="10.85546875" style="393" customWidth="1"/>
    <col min="6666" max="6666" width="6" style="393" customWidth="1"/>
    <col min="6667" max="6667" width="8.5703125" style="393" bestFit="1" customWidth="1"/>
    <col min="6668" max="6668" width="8.85546875" style="393" customWidth="1"/>
    <col min="6669" max="6669" width="9.28515625" style="393" bestFit="1" customWidth="1"/>
    <col min="6670" max="6670" width="10.28515625" style="393" bestFit="1" customWidth="1"/>
    <col min="6671" max="6671" width="12.140625" style="393" customWidth="1"/>
    <col min="6672" max="6673" width="9.28515625" style="393" bestFit="1" customWidth="1"/>
    <col min="6674" max="6674" width="11.28515625" style="393" bestFit="1" customWidth="1"/>
    <col min="6675" max="6912" width="9.140625" style="393"/>
    <col min="6913" max="6913" width="12.7109375" style="393" customWidth="1"/>
    <col min="6914" max="6914" width="10.85546875" style="393" bestFit="1" customWidth="1"/>
    <col min="6915" max="6915" width="12.85546875" style="393" customWidth="1"/>
    <col min="6916" max="6916" width="6.140625" style="393" bestFit="1" customWidth="1"/>
    <col min="6917" max="6917" width="13.28515625" style="393" customWidth="1"/>
    <col min="6918" max="6918" width="9" style="393" customWidth="1"/>
    <col min="6919" max="6919" width="11" style="393" customWidth="1"/>
    <col min="6920" max="6920" width="7.28515625" style="393" customWidth="1"/>
    <col min="6921" max="6921" width="10.85546875" style="393" customWidth="1"/>
    <col min="6922" max="6922" width="6" style="393" customWidth="1"/>
    <col min="6923" max="6923" width="8.5703125" style="393" bestFit="1" customWidth="1"/>
    <col min="6924" max="6924" width="8.85546875" style="393" customWidth="1"/>
    <col min="6925" max="6925" width="9.28515625" style="393" bestFit="1" customWidth="1"/>
    <col min="6926" max="6926" width="10.28515625" style="393" bestFit="1" customWidth="1"/>
    <col min="6927" max="6927" width="12.140625" style="393" customWidth="1"/>
    <col min="6928" max="6929" width="9.28515625" style="393" bestFit="1" customWidth="1"/>
    <col min="6930" max="6930" width="11.28515625" style="393" bestFit="1" customWidth="1"/>
    <col min="6931" max="7168" width="9.140625" style="393"/>
    <col min="7169" max="7169" width="12.7109375" style="393" customWidth="1"/>
    <col min="7170" max="7170" width="10.85546875" style="393" bestFit="1" customWidth="1"/>
    <col min="7171" max="7171" width="12.85546875" style="393" customWidth="1"/>
    <col min="7172" max="7172" width="6.140625" style="393" bestFit="1" customWidth="1"/>
    <col min="7173" max="7173" width="13.28515625" style="393" customWidth="1"/>
    <col min="7174" max="7174" width="9" style="393" customWidth="1"/>
    <col min="7175" max="7175" width="11" style="393" customWidth="1"/>
    <col min="7176" max="7176" width="7.28515625" style="393" customWidth="1"/>
    <col min="7177" max="7177" width="10.85546875" style="393" customWidth="1"/>
    <col min="7178" max="7178" width="6" style="393" customWidth="1"/>
    <col min="7179" max="7179" width="8.5703125" style="393" bestFit="1" customWidth="1"/>
    <col min="7180" max="7180" width="8.85546875" style="393" customWidth="1"/>
    <col min="7181" max="7181" width="9.28515625" style="393" bestFit="1" customWidth="1"/>
    <col min="7182" max="7182" width="10.28515625" style="393" bestFit="1" customWidth="1"/>
    <col min="7183" max="7183" width="12.140625" style="393" customWidth="1"/>
    <col min="7184" max="7185" width="9.28515625" style="393" bestFit="1" customWidth="1"/>
    <col min="7186" max="7186" width="11.28515625" style="393" bestFit="1" customWidth="1"/>
    <col min="7187" max="7424" width="9.140625" style="393"/>
    <col min="7425" max="7425" width="12.7109375" style="393" customWidth="1"/>
    <col min="7426" max="7426" width="10.85546875" style="393" bestFit="1" customWidth="1"/>
    <col min="7427" max="7427" width="12.85546875" style="393" customWidth="1"/>
    <col min="7428" max="7428" width="6.140625" style="393" bestFit="1" customWidth="1"/>
    <col min="7429" max="7429" width="13.28515625" style="393" customWidth="1"/>
    <col min="7430" max="7430" width="9" style="393" customWidth="1"/>
    <col min="7431" max="7431" width="11" style="393" customWidth="1"/>
    <col min="7432" max="7432" width="7.28515625" style="393" customWidth="1"/>
    <col min="7433" max="7433" width="10.85546875" style="393" customWidth="1"/>
    <col min="7434" max="7434" width="6" style="393" customWidth="1"/>
    <col min="7435" max="7435" width="8.5703125" style="393" bestFit="1" customWidth="1"/>
    <col min="7436" max="7436" width="8.85546875" style="393" customWidth="1"/>
    <col min="7437" max="7437" width="9.28515625" style="393" bestFit="1" customWidth="1"/>
    <col min="7438" max="7438" width="10.28515625" style="393" bestFit="1" customWidth="1"/>
    <col min="7439" max="7439" width="12.140625" style="393" customWidth="1"/>
    <col min="7440" max="7441" width="9.28515625" style="393" bestFit="1" customWidth="1"/>
    <col min="7442" max="7442" width="11.28515625" style="393" bestFit="1" customWidth="1"/>
    <col min="7443" max="7680" width="9.140625" style="393"/>
    <col min="7681" max="7681" width="12.7109375" style="393" customWidth="1"/>
    <col min="7682" max="7682" width="10.85546875" style="393" bestFit="1" customWidth="1"/>
    <col min="7683" max="7683" width="12.85546875" style="393" customWidth="1"/>
    <col min="7684" max="7684" width="6.140625" style="393" bestFit="1" customWidth="1"/>
    <col min="7685" max="7685" width="13.28515625" style="393" customWidth="1"/>
    <col min="7686" max="7686" width="9" style="393" customWidth="1"/>
    <col min="7687" max="7687" width="11" style="393" customWidth="1"/>
    <col min="7688" max="7688" width="7.28515625" style="393" customWidth="1"/>
    <col min="7689" max="7689" width="10.85546875" style="393" customWidth="1"/>
    <col min="7690" max="7690" width="6" style="393" customWidth="1"/>
    <col min="7691" max="7691" width="8.5703125" style="393" bestFit="1" customWidth="1"/>
    <col min="7692" max="7692" width="8.85546875" style="393" customWidth="1"/>
    <col min="7693" max="7693" width="9.28515625" style="393" bestFit="1" customWidth="1"/>
    <col min="7694" max="7694" width="10.28515625" style="393" bestFit="1" customWidth="1"/>
    <col min="7695" max="7695" width="12.140625" style="393" customWidth="1"/>
    <col min="7696" max="7697" width="9.28515625" style="393" bestFit="1" customWidth="1"/>
    <col min="7698" max="7698" width="11.28515625" style="393" bestFit="1" customWidth="1"/>
    <col min="7699" max="7936" width="9.140625" style="393"/>
    <col min="7937" max="7937" width="12.7109375" style="393" customWidth="1"/>
    <col min="7938" max="7938" width="10.85546875" style="393" bestFit="1" customWidth="1"/>
    <col min="7939" max="7939" width="12.85546875" style="393" customWidth="1"/>
    <col min="7940" max="7940" width="6.140625" style="393" bestFit="1" customWidth="1"/>
    <col min="7941" max="7941" width="13.28515625" style="393" customWidth="1"/>
    <col min="7942" max="7942" width="9" style="393" customWidth="1"/>
    <col min="7943" max="7943" width="11" style="393" customWidth="1"/>
    <col min="7944" max="7944" width="7.28515625" style="393" customWidth="1"/>
    <col min="7945" max="7945" width="10.85546875" style="393" customWidth="1"/>
    <col min="7946" max="7946" width="6" style="393" customWidth="1"/>
    <col min="7947" max="7947" width="8.5703125" style="393" bestFit="1" customWidth="1"/>
    <col min="7948" max="7948" width="8.85546875" style="393" customWidth="1"/>
    <col min="7949" max="7949" width="9.28515625" style="393" bestFit="1" customWidth="1"/>
    <col min="7950" max="7950" width="10.28515625" style="393" bestFit="1" customWidth="1"/>
    <col min="7951" max="7951" width="12.140625" style="393" customWidth="1"/>
    <col min="7952" max="7953" width="9.28515625" style="393" bestFit="1" customWidth="1"/>
    <col min="7954" max="7954" width="11.28515625" style="393" bestFit="1" customWidth="1"/>
    <col min="7955" max="8192" width="9.140625" style="393"/>
    <col min="8193" max="8193" width="12.7109375" style="393" customWidth="1"/>
    <col min="8194" max="8194" width="10.85546875" style="393" bestFit="1" customWidth="1"/>
    <col min="8195" max="8195" width="12.85546875" style="393" customWidth="1"/>
    <col min="8196" max="8196" width="6.140625" style="393" bestFit="1" customWidth="1"/>
    <col min="8197" max="8197" width="13.28515625" style="393" customWidth="1"/>
    <col min="8198" max="8198" width="9" style="393" customWidth="1"/>
    <col min="8199" max="8199" width="11" style="393" customWidth="1"/>
    <col min="8200" max="8200" width="7.28515625" style="393" customWidth="1"/>
    <col min="8201" max="8201" width="10.85546875" style="393" customWidth="1"/>
    <col min="8202" max="8202" width="6" style="393" customWidth="1"/>
    <col min="8203" max="8203" width="8.5703125" style="393" bestFit="1" customWidth="1"/>
    <col min="8204" max="8204" width="8.85546875" style="393" customWidth="1"/>
    <col min="8205" max="8205" width="9.28515625" style="393" bestFit="1" customWidth="1"/>
    <col min="8206" max="8206" width="10.28515625" style="393" bestFit="1" customWidth="1"/>
    <col min="8207" max="8207" width="12.140625" style="393" customWidth="1"/>
    <col min="8208" max="8209" width="9.28515625" style="393" bestFit="1" customWidth="1"/>
    <col min="8210" max="8210" width="11.28515625" style="393" bestFit="1" customWidth="1"/>
    <col min="8211" max="8448" width="9.140625" style="393"/>
    <col min="8449" max="8449" width="12.7109375" style="393" customWidth="1"/>
    <col min="8450" max="8450" width="10.85546875" style="393" bestFit="1" customWidth="1"/>
    <col min="8451" max="8451" width="12.85546875" style="393" customWidth="1"/>
    <col min="8452" max="8452" width="6.140625" style="393" bestFit="1" customWidth="1"/>
    <col min="8453" max="8453" width="13.28515625" style="393" customWidth="1"/>
    <col min="8454" max="8454" width="9" style="393" customWidth="1"/>
    <col min="8455" max="8455" width="11" style="393" customWidth="1"/>
    <col min="8456" max="8456" width="7.28515625" style="393" customWidth="1"/>
    <col min="8457" max="8457" width="10.85546875" style="393" customWidth="1"/>
    <col min="8458" max="8458" width="6" style="393" customWidth="1"/>
    <col min="8459" max="8459" width="8.5703125" style="393" bestFit="1" customWidth="1"/>
    <col min="8460" max="8460" width="8.85546875" style="393" customWidth="1"/>
    <col min="8461" max="8461" width="9.28515625" style="393" bestFit="1" customWidth="1"/>
    <col min="8462" max="8462" width="10.28515625" style="393" bestFit="1" customWidth="1"/>
    <col min="8463" max="8463" width="12.140625" style="393" customWidth="1"/>
    <col min="8464" max="8465" width="9.28515625" style="393" bestFit="1" customWidth="1"/>
    <col min="8466" max="8466" width="11.28515625" style="393" bestFit="1" customWidth="1"/>
    <col min="8467" max="8704" width="9.140625" style="393"/>
    <col min="8705" max="8705" width="12.7109375" style="393" customWidth="1"/>
    <col min="8706" max="8706" width="10.85546875" style="393" bestFit="1" customWidth="1"/>
    <col min="8707" max="8707" width="12.85546875" style="393" customWidth="1"/>
    <col min="8708" max="8708" width="6.140625" style="393" bestFit="1" customWidth="1"/>
    <col min="8709" max="8709" width="13.28515625" style="393" customWidth="1"/>
    <col min="8710" max="8710" width="9" style="393" customWidth="1"/>
    <col min="8711" max="8711" width="11" style="393" customWidth="1"/>
    <col min="8712" max="8712" width="7.28515625" style="393" customWidth="1"/>
    <col min="8713" max="8713" width="10.85546875" style="393" customWidth="1"/>
    <col min="8714" max="8714" width="6" style="393" customWidth="1"/>
    <col min="8715" max="8715" width="8.5703125" style="393" bestFit="1" customWidth="1"/>
    <col min="8716" max="8716" width="8.85546875" style="393" customWidth="1"/>
    <col min="8717" max="8717" width="9.28515625" style="393" bestFit="1" customWidth="1"/>
    <col min="8718" max="8718" width="10.28515625" style="393" bestFit="1" customWidth="1"/>
    <col min="8719" max="8719" width="12.140625" style="393" customWidth="1"/>
    <col min="8720" max="8721" width="9.28515625" style="393" bestFit="1" customWidth="1"/>
    <col min="8722" max="8722" width="11.28515625" style="393" bestFit="1" customWidth="1"/>
    <col min="8723" max="8960" width="9.140625" style="393"/>
    <col min="8961" max="8961" width="12.7109375" style="393" customWidth="1"/>
    <col min="8962" max="8962" width="10.85546875" style="393" bestFit="1" customWidth="1"/>
    <col min="8963" max="8963" width="12.85546875" style="393" customWidth="1"/>
    <col min="8964" max="8964" width="6.140625" style="393" bestFit="1" customWidth="1"/>
    <col min="8965" max="8965" width="13.28515625" style="393" customWidth="1"/>
    <col min="8966" max="8966" width="9" style="393" customWidth="1"/>
    <col min="8967" max="8967" width="11" style="393" customWidth="1"/>
    <col min="8968" max="8968" width="7.28515625" style="393" customWidth="1"/>
    <col min="8969" max="8969" width="10.85546875" style="393" customWidth="1"/>
    <col min="8970" max="8970" width="6" style="393" customWidth="1"/>
    <col min="8971" max="8971" width="8.5703125" style="393" bestFit="1" customWidth="1"/>
    <col min="8972" max="8972" width="8.85546875" style="393" customWidth="1"/>
    <col min="8973" max="8973" width="9.28515625" style="393" bestFit="1" customWidth="1"/>
    <col min="8974" max="8974" width="10.28515625" style="393" bestFit="1" customWidth="1"/>
    <col min="8975" max="8975" width="12.140625" style="393" customWidth="1"/>
    <col min="8976" max="8977" width="9.28515625" style="393" bestFit="1" customWidth="1"/>
    <col min="8978" max="8978" width="11.28515625" style="393" bestFit="1" customWidth="1"/>
    <col min="8979" max="9216" width="9.140625" style="393"/>
    <col min="9217" max="9217" width="12.7109375" style="393" customWidth="1"/>
    <col min="9218" max="9218" width="10.85546875" style="393" bestFit="1" customWidth="1"/>
    <col min="9219" max="9219" width="12.85546875" style="393" customWidth="1"/>
    <col min="9220" max="9220" width="6.140625" style="393" bestFit="1" customWidth="1"/>
    <col min="9221" max="9221" width="13.28515625" style="393" customWidth="1"/>
    <col min="9222" max="9222" width="9" style="393" customWidth="1"/>
    <col min="9223" max="9223" width="11" style="393" customWidth="1"/>
    <col min="9224" max="9224" width="7.28515625" style="393" customWidth="1"/>
    <col min="9225" max="9225" width="10.85546875" style="393" customWidth="1"/>
    <col min="9226" max="9226" width="6" style="393" customWidth="1"/>
    <col min="9227" max="9227" width="8.5703125" style="393" bestFit="1" customWidth="1"/>
    <col min="9228" max="9228" width="8.85546875" style="393" customWidth="1"/>
    <col min="9229" max="9229" width="9.28515625" style="393" bestFit="1" customWidth="1"/>
    <col min="9230" max="9230" width="10.28515625" style="393" bestFit="1" customWidth="1"/>
    <col min="9231" max="9231" width="12.140625" style="393" customWidth="1"/>
    <col min="9232" max="9233" width="9.28515625" style="393" bestFit="1" customWidth="1"/>
    <col min="9234" max="9234" width="11.28515625" style="393" bestFit="1" customWidth="1"/>
    <col min="9235" max="9472" width="9.140625" style="393"/>
    <col min="9473" max="9473" width="12.7109375" style="393" customWidth="1"/>
    <col min="9474" max="9474" width="10.85546875" style="393" bestFit="1" customWidth="1"/>
    <col min="9475" max="9475" width="12.85546875" style="393" customWidth="1"/>
    <col min="9476" max="9476" width="6.140625" style="393" bestFit="1" customWidth="1"/>
    <col min="9477" max="9477" width="13.28515625" style="393" customWidth="1"/>
    <col min="9478" max="9478" width="9" style="393" customWidth="1"/>
    <col min="9479" max="9479" width="11" style="393" customWidth="1"/>
    <col min="9480" max="9480" width="7.28515625" style="393" customWidth="1"/>
    <col min="9481" max="9481" width="10.85546875" style="393" customWidth="1"/>
    <col min="9482" max="9482" width="6" style="393" customWidth="1"/>
    <col min="9483" max="9483" width="8.5703125" style="393" bestFit="1" customWidth="1"/>
    <col min="9484" max="9484" width="8.85546875" style="393" customWidth="1"/>
    <col min="9485" max="9485" width="9.28515625" style="393" bestFit="1" customWidth="1"/>
    <col min="9486" max="9486" width="10.28515625" style="393" bestFit="1" customWidth="1"/>
    <col min="9487" max="9487" width="12.140625" style="393" customWidth="1"/>
    <col min="9488" max="9489" width="9.28515625" style="393" bestFit="1" customWidth="1"/>
    <col min="9490" max="9490" width="11.28515625" style="393" bestFit="1" customWidth="1"/>
    <col min="9491" max="9728" width="9.140625" style="393"/>
    <col min="9729" max="9729" width="12.7109375" style="393" customWidth="1"/>
    <col min="9730" max="9730" width="10.85546875" style="393" bestFit="1" customWidth="1"/>
    <col min="9731" max="9731" width="12.85546875" style="393" customWidth="1"/>
    <col min="9732" max="9732" width="6.140625" style="393" bestFit="1" customWidth="1"/>
    <col min="9733" max="9733" width="13.28515625" style="393" customWidth="1"/>
    <col min="9734" max="9734" width="9" style="393" customWidth="1"/>
    <col min="9735" max="9735" width="11" style="393" customWidth="1"/>
    <col min="9736" max="9736" width="7.28515625" style="393" customWidth="1"/>
    <col min="9737" max="9737" width="10.85546875" style="393" customWidth="1"/>
    <col min="9738" max="9738" width="6" style="393" customWidth="1"/>
    <col min="9739" max="9739" width="8.5703125" style="393" bestFit="1" customWidth="1"/>
    <col min="9740" max="9740" width="8.85546875" style="393" customWidth="1"/>
    <col min="9741" max="9741" width="9.28515625" style="393" bestFit="1" customWidth="1"/>
    <col min="9742" max="9742" width="10.28515625" style="393" bestFit="1" customWidth="1"/>
    <col min="9743" max="9743" width="12.140625" style="393" customWidth="1"/>
    <col min="9744" max="9745" width="9.28515625" style="393" bestFit="1" customWidth="1"/>
    <col min="9746" max="9746" width="11.28515625" style="393" bestFit="1" customWidth="1"/>
    <col min="9747" max="9984" width="9.140625" style="393"/>
    <col min="9985" max="9985" width="12.7109375" style="393" customWidth="1"/>
    <col min="9986" max="9986" width="10.85546875" style="393" bestFit="1" customWidth="1"/>
    <col min="9987" max="9987" width="12.85546875" style="393" customWidth="1"/>
    <col min="9988" max="9988" width="6.140625" style="393" bestFit="1" customWidth="1"/>
    <col min="9989" max="9989" width="13.28515625" style="393" customWidth="1"/>
    <col min="9990" max="9990" width="9" style="393" customWidth="1"/>
    <col min="9991" max="9991" width="11" style="393" customWidth="1"/>
    <col min="9992" max="9992" width="7.28515625" style="393" customWidth="1"/>
    <col min="9993" max="9993" width="10.85546875" style="393" customWidth="1"/>
    <col min="9994" max="9994" width="6" style="393" customWidth="1"/>
    <col min="9995" max="9995" width="8.5703125" style="393" bestFit="1" customWidth="1"/>
    <col min="9996" max="9996" width="8.85546875" style="393" customWidth="1"/>
    <col min="9997" max="9997" width="9.28515625" style="393" bestFit="1" customWidth="1"/>
    <col min="9998" max="9998" width="10.28515625" style="393" bestFit="1" customWidth="1"/>
    <col min="9999" max="9999" width="12.140625" style="393" customWidth="1"/>
    <col min="10000" max="10001" width="9.28515625" style="393" bestFit="1" customWidth="1"/>
    <col min="10002" max="10002" width="11.28515625" style="393" bestFit="1" customWidth="1"/>
    <col min="10003" max="10240" width="9.140625" style="393"/>
    <col min="10241" max="10241" width="12.7109375" style="393" customWidth="1"/>
    <col min="10242" max="10242" width="10.85546875" style="393" bestFit="1" customWidth="1"/>
    <col min="10243" max="10243" width="12.85546875" style="393" customWidth="1"/>
    <col min="10244" max="10244" width="6.140625" style="393" bestFit="1" customWidth="1"/>
    <col min="10245" max="10245" width="13.28515625" style="393" customWidth="1"/>
    <col min="10246" max="10246" width="9" style="393" customWidth="1"/>
    <col min="10247" max="10247" width="11" style="393" customWidth="1"/>
    <col min="10248" max="10248" width="7.28515625" style="393" customWidth="1"/>
    <col min="10249" max="10249" width="10.85546875" style="393" customWidth="1"/>
    <col min="10250" max="10250" width="6" style="393" customWidth="1"/>
    <col min="10251" max="10251" width="8.5703125" style="393" bestFit="1" customWidth="1"/>
    <col min="10252" max="10252" width="8.85546875" style="393" customWidth="1"/>
    <col min="10253" max="10253" width="9.28515625" style="393" bestFit="1" customWidth="1"/>
    <col min="10254" max="10254" width="10.28515625" style="393" bestFit="1" customWidth="1"/>
    <col min="10255" max="10255" width="12.140625" style="393" customWidth="1"/>
    <col min="10256" max="10257" width="9.28515625" style="393" bestFit="1" customWidth="1"/>
    <col min="10258" max="10258" width="11.28515625" style="393" bestFit="1" customWidth="1"/>
    <col min="10259" max="10496" width="9.140625" style="393"/>
    <col min="10497" max="10497" width="12.7109375" style="393" customWidth="1"/>
    <col min="10498" max="10498" width="10.85546875" style="393" bestFit="1" customWidth="1"/>
    <col min="10499" max="10499" width="12.85546875" style="393" customWidth="1"/>
    <col min="10500" max="10500" width="6.140625" style="393" bestFit="1" customWidth="1"/>
    <col min="10501" max="10501" width="13.28515625" style="393" customWidth="1"/>
    <col min="10502" max="10502" width="9" style="393" customWidth="1"/>
    <col min="10503" max="10503" width="11" style="393" customWidth="1"/>
    <col min="10504" max="10504" width="7.28515625" style="393" customWidth="1"/>
    <col min="10505" max="10505" width="10.85546875" style="393" customWidth="1"/>
    <col min="10506" max="10506" width="6" style="393" customWidth="1"/>
    <col min="10507" max="10507" width="8.5703125" style="393" bestFit="1" customWidth="1"/>
    <col min="10508" max="10508" width="8.85546875" style="393" customWidth="1"/>
    <col min="10509" max="10509" width="9.28515625" style="393" bestFit="1" customWidth="1"/>
    <col min="10510" max="10510" width="10.28515625" style="393" bestFit="1" customWidth="1"/>
    <col min="10511" max="10511" width="12.140625" style="393" customWidth="1"/>
    <col min="10512" max="10513" width="9.28515625" style="393" bestFit="1" customWidth="1"/>
    <col min="10514" max="10514" width="11.28515625" style="393" bestFit="1" customWidth="1"/>
    <col min="10515" max="10752" width="9.140625" style="393"/>
    <col min="10753" max="10753" width="12.7109375" style="393" customWidth="1"/>
    <col min="10754" max="10754" width="10.85546875" style="393" bestFit="1" customWidth="1"/>
    <col min="10755" max="10755" width="12.85546875" style="393" customWidth="1"/>
    <col min="10756" max="10756" width="6.140625" style="393" bestFit="1" customWidth="1"/>
    <col min="10757" max="10757" width="13.28515625" style="393" customWidth="1"/>
    <col min="10758" max="10758" width="9" style="393" customWidth="1"/>
    <col min="10759" max="10759" width="11" style="393" customWidth="1"/>
    <col min="10760" max="10760" width="7.28515625" style="393" customWidth="1"/>
    <col min="10761" max="10761" width="10.85546875" style="393" customWidth="1"/>
    <col min="10762" max="10762" width="6" style="393" customWidth="1"/>
    <col min="10763" max="10763" width="8.5703125" style="393" bestFit="1" customWidth="1"/>
    <col min="10764" max="10764" width="8.85546875" style="393" customWidth="1"/>
    <col min="10765" max="10765" width="9.28515625" style="393" bestFit="1" customWidth="1"/>
    <col min="10766" max="10766" width="10.28515625" style="393" bestFit="1" customWidth="1"/>
    <col min="10767" max="10767" width="12.140625" style="393" customWidth="1"/>
    <col min="10768" max="10769" width="9.28515625" style="393" bestFit="1" customWidth="1"/>
    <col min="10770" max="10770" width="11.28515625" style="393" bestFit="1" customWidth="1"/>
    <col min="10771" max="11008" width="9.140625" style="393"/>
    <col min="11009" max="11009" width="12.7109375" style="393" customWidth="1"/>
    <col min="11010" max="11010" width="10.85546875" style="393" bestFit="1" customWidth="1"/>
    <col min="11011" max="11011" width="12.85546875" style="393" customWidth="1"/>
    <col min="11012" max="11012" width="6.140625" style="393" bestFit="1" customWidth="1"/>
    <col min="11013" max="11013" width="13.28515625" style="393" customWidth="1"/>
    <col min="11014" max="11014" width="9" style="393" customWidth="1"/>
    <col min="11015" max="11015" width="11" style="393" customWidth="1"/>
    <col min="11016" max="11016" width="7.28515625" style="393" customWidth="1"/>
    <col min="11017" max="11017" width="10.85546875" style="393" customWidth="1"/>
    <col min="11018" max="11018" width="6" style="393" customWidth="1"/>
    <col min="11019" max="11019" width="8.5703125" style="393" bestFit="1" customWidth="1"/>
    <col min="11020" max="11020" width="8.85546875" style="393" customWidth="1"/>
    <col min="11021" max="11021" width="9.28515625" style="393" bestFit="1" customWidth="1"/>
    <col min="11022" max="11022" width="10.28515625" style="393" bestFit="1" customWidth="1"/>
    <col min="11023" max="11023" width="12.140625" style="393" customWidth="1"/>
    <col min="11024" max="11025" width="9.28515625" style="393" bestFit="1" customWidth="1"/>
    <col min="11026" max="11026" width="11.28515625" style="393" bestFit="1" customWidth="1"/>
    <col min="11027" max="11264" width="9.140625" style="393"/>
    <col min="11265" max="11265" width="12.7109375" style="393" customWidth="1"/>
    <col min="11266" max="11266" width="10.85546875" style="393" bestFit="1" customWidth="1"/>
    <col min="11267" max="11267" width="12.85546875" style="393" customWidth="1"/>
    <col min="11268" max="11268" width="6.140625" style="393" bestFit="1" customWidth="1"/>
    <col min="11269" max="11269" width="13.28515625" style="393" customWidth="1"/>
    <col min="11270" max="11270" width="9" style="393" customWidth="1"/>
    <col min="11271" max="11271" width="11" style="393" customWidth="1"/>
    <col min="11272" max="11272" width="7.28515625" style="393" customWidth="1"/>
    <col min="11273" max="11273" width="10.85546875" style="393" customWidth="1"/>
    <col min="11274" max="11274" width="6" style="393" customWidth="1"/>
    <col min="11275" max="11275" width="8.5703125" style="393" bestFit="1" customWidth="1"/>
    <col min="11276" max="11276" width="8.85546875" style="393" customWidth="1"/>
    <col min="11277" max="11277" width="9.28515625" style="393" bestFit="1" customWidth="1"/>
    <col min="11278" max="11278" width="10.28515625" style="393" bestFit="1" customWidth="1"/>
    <col min="11279" max="11279" width="12.140625" style="393" customWidth="1"/>
    <col min="11280" max="11281" width="9.28515625" style="393" bestFit="1" customWidth="1"/>
    <col min="11282" max="11282" width="11.28515625" style="393" bestFit="1" customWidth="1"/>
    <col min="11283" max="11520" width="9.140625" style="393"/>
    <col min="11521" max="11521" width="12.7109375" style="393" customWidth="1"/>
    <col min="11522" max="11522" width="10.85546875" style="393" bestFit="1" customWidth="1"/>
    <col min="11523" max="11523" width="12.85546875" style="393" customWidth="1"/>
    <col min="11524" max="11524" width="6.140625" style="393" bestFit="1" customWidth="1"/>
    <col min="11525" max="11525" width="13.28515625" style="393" customWidth="1"/>
    <col min="11526" max="11526" width="9" style="393" customWidth="1"/>
    <col min="11527" max="11527" width="11" style="393" customWidth="1"/>
    <col min="11528" max="11528" width="7.28515625" style="393" customWidth="1"/>
    <col min="11529" max="11529" width="10.85546875" style="393" customWidth="1"/>
    <col min="11530" max="11530" width="6" style="393" customWidth="1"/>
    <col min="11531" max="11531" width="8.5703125" style="393" bestFit="1" customWidth="1"/>
    <col min="11532" max="11532" width="8.85546875" style="393" customWidth="1"/>
    <col min="11533" max="11533" width="9.28515625" style="393" bestFit="1" customWidth="1"/>
    <col min="11534" max="11534" width="10.28515625" style="393" bestFit="1" customWidth="1"/>
    <col min="11535" max="11535" width="12.140625" style="393" customWidth="1"/>
    <col min="11536" max="11537" width="9.28515625" style="393" bestFit="1" customWidth="1"/>
    <col min="11538" max="11538" width="11.28515625" style="393" bestFit="1" customWidth="1"/>
    <col min="11539" max="11776" width="9.140625" style="393"/>
    <col min="11777" max="11777" width="12.7109375" style="393" customWidth="1"/>
    <col min="11778" max="11778" width="10.85546875" style="393" bestFit="1" customWidth="1"/>
    <col min="11779" max="11779" width="12.85546875" style="393" customWidth="1"/>
    <col min="11780" max="11780" width="6.140625" style="393" bestFit="1" customWidth="1"/>
    <col min="11781" max="11781" width="13.28515625" style="393" customWidth="1"/>
    <col min="11782" max="11782" width="9" style="393" customWidth="1"/>
    <col min="11783" max="11783" width="11" style="393" customWidth="1"/>
    <col min="11784" max="11784" width="7.28515625" style="393" customWidth="1"/>
    <col min="11785" max="11785" width="10.85546875" style="393" customWidth="1"/>
    <col min="11786" max="11786" width="6" style="393" customWidth="1"/>
    <col min="11787" max="11787" width="8.5703125" style="393" bestFit="1" customWidth="1"/>
    <col min="11788" max="11788" width="8.85546875" style="393" customWidth="1"/>
    <col min="11789" max="11789" width="9.28515625" style="393" bestFit="1" customWidth="1"/>
    <col min="11790" max="11790" width="10.28515625" style="393" bestFit="1" customWidth="1"/>
    <col min="11791" max="11791" width="12.140625" style="393" customWidth="1"/>
    <col min="11792" max="11793" width="9.28515625" style="393" bestFit="1" customWidth="1"/>
    <col min="11794" max="11794" width="11.28515625" style="393" bestFit="1" customWidth="1"/>
    <col min="11795" max="12032" width="9.140625" style="393"/>
    <col min="12033" max="12033" width="12.7109375" style="393" customWidth="1"/>
    <col min="12034" max="12034" width="10.85546875" style="393" bestFit="1" customWidth="1"/>
    <col min="12035" max="12035" width="12.85546875" style="393" customWidth="1"/>
    <col min="12036" max="12036" width="6.140625" style="393" bestFit="1" customWidth="1"/>
    <col min="12037" max="12037" width="13.28515625" style="393" customWidth="1"/>
    <col min="12038" max="12038" width="9" style="393" customWidth="1"/>
    <col min="12039" max="12039" width="11" style="393" customWidth="1"/>
    <col min="12040" max="12040" width="7.28515625" style="393" customWidth="1"/>
    <col min="12041" max="12041" width="10.85546875" style="393" customWidth="1"/>
    <col min="12042" max="12042" width="6" style="393" customWidth="1"/>
    <col min="12043" max="12043" width="8.5703125" style="393" bestFit="1" customWidth="1"/>
    <col min="12044" max="12044" width="8.85546875" style="393" customWidth="1"/>
    <col min="12045" max="12045" width="9.28515625" style="393" bestFit="1" customWidth="1"/>
    <col min="12046" max="12046" width="10.28515625" style="393" bestFit="1" customWidth="1"/>
    <col min="12047" max="12047" width="12.140625" style="393" customWidth="1"/>
    <col min="12048" max="12049" width="9.28515625" style="393" bestFit="1" customWidth="1"/>
    <col min="12050" max="12050" width="11.28515625" style="393" bestFit="1" customWidth="1"/>
    <col min="12051" max="12288" width="9.140625" style="393"/>
    <col min="12289" max="12289" width="12.7109375" style="393" customWidth="1"/>
    <col min="12290" max="12290" width="10.85546875" style="393" bestFit="1" customWidth="1"/>
    <col min="12291" max="12291" width="12.85546875" style="393" customWidth="1"/>
    <col min="12292" max="12292" width="6.140625" style="393" bestFit="1" customWidth="1"/>
    <col min="12293" max="12293" width="13.28515625" style="393" customWidth="1"/>
    <col min="12294" max="12294" width="9" style="393" customWidth="1"/>
    <col min="12295" max="12295" width="11" style="393" customWidth="1"/>
    <col min="12296" max="12296" width="7.28515625" style="393" customWidth="1"/>
    <col min="12297" max="12297" width="10.85546875" style="393" customWidth="1"/>
    <col min="12298" max="12298" width="6" style="393" customWidth="1"/>
    <col min="12299" max="12299" width="8.5703125" style="393" bestFit="1" customWidth="1"/>
    <col min="12300" max="12300" width="8.85546875" style="393" customWidth="1"/>
    <col min="12301" max="12301" width="9.28515625" style="393" bestFit="1" customWidth="1"/>
    <col min="12302" max="12302" width="10.28515625" style="393" bestFit="1" customWidth="1"/>
    <col min="12303" max="12303" width="12.140625" style="393" customWidth="1"/>
    <col min="12304" max="12305" width="9.28515625" style="393" bestFit="1" customWidth="1"/>
    <col min="12306" max="12306" width="11.28515625" style="393" bestFit="1" customWidth="1"/>
    <col min="12307" max="12544" width="9.140625" style="393"/>
    <col min="12545" max="12545" width="12.7109375" style="393" customWidth="1"/>
    <col min="12546" max="12546" width="10.85546875" style="393" bestFit="1" customWidth="1"/>
    <col min="12547" max="12547" width="12.85546875" style="393" customWidth="1"/>
    <col min="12548" max="12548" width="6.140625" style="393" bestFit="1" customWidth="1"/>
    <col min="12549" max="12549" width="13.28515625" style="393" customWidth="1"/>
    <col min="12550" max="12550" width="9" style="393" customWidth="1"/>
    <col min="12551" max="12551" width="11" style="393" customWidth="1"/>
    <col min="12552" max="12552" width="7.28515625" style="393" customWidth="1"/>
    <col min="12553" max="12553" width="10.85546875" style="393" customWidth="1"/>
    <col min="12554" max="12554" width="6" style="393" customWidth="1"/>
    <col min="12555" max="12555" width="8.5703125" style="393" bestFit="1" customWidth="1"/>
    <col min="12556" max="12556" width="8.85546875" style="393" customWidth="1"/>
    <col min="12557" max="12557" width="9.28515625" style="393" bestFit="1" customWidth="1"/>
    <col min="12558" max="12558" width="10.28515625" style="393" bestFit="1" customWidth="1"/>
    <col min="12559" max="12559" width="12.140625" style="393" customWidth="1"/>
    <col min="12560" max="12561" width="9.28515625" style="393" bestFit="1" customWidth="1"/>
    <col min="12562" max="12562" width="11.28515625" style="393" bestFit="1" customWidth="1"/>
    <col min="12563" max="12800" width="9.140625" style="393"/>
    <col min="12801" max="12801" width="12.7109375" style="393" customWidth="1"/>
    <col min="12802" max="12802" width="10.85546875" style="393" bestFit="1" customWidth="1"/>
    <col min="12803" max="12803" width="12.85546875" style="393" customWidth="1"/>
    <col min="12804" max="12804" width="6.140625" style="393" bestFit="1" customWidth="1"/>
    <col min="12805" max="12805" width="13.28515625" style="393" customWidth="1"/>
    <col min="12806" max="12806" width="9" style="393" customWidth="1"/>
    <col min="12807" max="12807" width="11" style="393" customWidth="1"/>
    <col min="12808" max="12808" width="7.28515625" style="393" customWidth="1"/>
    <col min="12809" max="12809" width="10.85546875" style="393" customWidth="1"/>
    <col min="12810" max="12810" width="6" style="393" customWidth="1"/>
    <col min="12811" max="12811" width="8.5703125" style="393" bestFit="1" customWidth="1"/>
    <col min="12812" max="12812" width="8.85546875" style="393" customWidth="1"/>
    <col min="12813" max="12813" width="9.28515625" style="393" bestFit="1" customWidth="1"/>
    <col min="12814" max="12814" width="10.28515625" style="393" bestFit="1" customWidth="1"/>
    <col min="12815" max="12815" width="12.140625" style="393" customWidth="1"/>
    <col min="12816" max="12817" width="9.28515625" style="393" bestFit="1" customWidth="1"/>
    <col min="12818" max="12818" width="11.28515625" style="393" bestFit="1" customWidth="1"/>
    <col min="12819" max="13056" width="9.140625" style="393"/>
    <col min="13057" max="13057" width="12.7109375" style="393" customWidth="1"/>
    <col min="13058" max="13058" width="10.85546875" style="393" bestFit="1" customWidth="1"/>
    <col min="13059" max="13059" width="12.85546875" style="393" customWidth="1"/>
    <col min="13060" max="13060" width="6.140625" style="393" bestFit="1" customWidth="1"/>
    <col min="13061" max="13061" width="13.28515625" style="393" customWidth="1"/>
    <col min="13062" max="13062" width="9" style="393" customWidth="1"/>
    <col min="13063" max="13063" width="11" style="393" customWidth="1"/>
    <col min="13064" max="13064" width="7.28515625" style="393" customWidth="1"/>
    <col min="13065" max="13065" width="10.85546875" style="393" customWidth="1"/>
    <col min="13066" max="13066" width="6" style="393" customWidth="1"/>
    <col min="13067" max="13067" width="8.5703125" style="393" bestFit="1" customWidth="1"/>
    <col min="13068" max="13068" width="8.85546875" style="393" customWidth="1"/>
    <col min="13069" max="13069" width="9.28515625" style="393" bestFit="1" customWidth="1"/>
    <col min="13070" max="13070" width="10.28515625" style="393" bestFit="1" customWidth="1"/>
    <col min="13071" max="13071" width="12.140625" style="393" customWidth="1"/>
    <col min="13072" max="13073" width="9.28515625" style="393" bestFit="1" customWidth="1"/>
    <col min="13074" max="13074" width="11.28515625" style="393" bestFit="1" customWidth="1"/>
    <col min="13075" max="13312" width="9.140625" style="393"/>
    <col min="13313" max="13313" width="12.7109375" style="393" customWidth="1"/>
    <col min="13314" max="13314" width="10.85546875" style="393" bestFit="1" customWidth="1"/>
    <col min="13315" max="13315" width="12.85546875" style="393" customWidth="1"/>
    <col min="13316" max="13316" width="6.140625" style="393" bestFit="1" customWidth="1"/>
    <col min="13317" max="13317" width="13.28515625" style="393" customWidth="1"/>
    <col min="13318" max="13318" width="9" style="393" customWidth="1"/>
    <col min="13319" max="13319" width="11" style="393" customWidth="1"/>
    <col min="13320" max="13320" width="7.28515625" style="393" customWidth="1"/>
    <col min="13321" max="13321" width="10.85546875" style="393" customWidth="1"/>
    <col min="13322" max="13322" width="6" style="393" customWidth="1"/>
    <col min="13323" max="13323" width="8.5703125" style="393" bestFit="1" customWidth="1"/>
    <col min="13324" max="13324" width="8.85546875" style="393" customWidth="1"/>
    <col min="13325" max="13325" width="9.28515625" style="393" bestFit="1" customWidth="1"/>
    <col min="13326" max="13326" width="10.28515625" style="393" bestFit="1" customWidth="1"/>
    <col min="13327" max="13327" width="12.140625" style="393" customWidth="1"/>
    <col min="13328" max="13329" width="9.28515625" style="393" bestFit="1" customWidth="1"/>
    <col min="13330" max="13330" width="11.28515625" style="393" bestFit="1" customWidth="1"/>
    <col min="13331" max="13568" width="9.140625" style="393"/>
    <col min="13569" max="13569" width="12.7109375" style="393" customWidth="1"/>
    <col min="13570" max="13570" width="10.85546875" style="393" bestFit="1" customWidth="1"/>
    <col min="13571" max="13571" width="12.85546875" style="393" customWidth="1"/>
    <col min="13572" max="13572" width="6.140625" style="393" bestFit="1" customWidth="1"/>
    <col min="13573" max="13573" width="13.28515625" style="393" customWidth="1"/>
    <col min="13574" max="13574" width="9" style="393" customWidth="1"/>
    <col min="13575" max="13575" width="11" style="393" customWidth="1"/>
    <col min="13576" max="13576" width="7.28515625" style="393" customWidth="1"/>
    <col min="13577" max="13577" width="10.85546875" style="393" customWidth="1"/>
    <col min="13578" max="13578" width="6" style="393" customWidth="1"/>
    <col min="13579" max="13579" width="8.5703125" style="393" bestFit="1" customWidth="1"/>
    <col min="13580" max="13580" width="8.85546875" style="393" customWidth="1"/>
    <col min="13581" max="13581" width="9.28515625" style="393" bestFit="1" customWidth="1"/>
    <col min="13582" max="13582" width="10.28515625" style="393" bestFit="1" customWidth="1"/>
    <col min="13583" max="13583" width="12.140625" style="393" customWidth="1"/>
    <col min="13584" max="13585" width="9.28515625" style="393" bestFit="1" customWidth="1"/>
    <col min="13586" max="13586" width="11.28515625" style="393" bestFit="1" customWidth="1"/>
    <col min="13587" max="13824" width="9.140625" style="393"/>
    <col min="13825" max="13825" width="12.7109375" style="393" customWidth="1"/>
    <col min="13826" max="13826" width="10.85546875" style="393" bestFit="1" customWidth="1"/>
    <col min="13827" max="13827" width="12.85546875" style="393" customWidth="1"/>
    <col min="13828" max="13828" width="6.140625" style="393" bestFit="1" customWidth="1"/>
    <col min="13829" max="13829" width="13.28515625" style="393" customWidth="1"/>
    <col min="13830" max="13830" width="9" style="393" customWidth="1"/>
    <col min="13831" max="13831" width="11" style="393" customWidth="1"/>
    <col min="13832" max="13832" width="7.28515625" style="393" customWidth="1"/>
    <col min="13833" max="13833" width="10.85546875" style="393" customWidth="1"/>
    <col min="13834" max="13834" width="6" style="393" customWidth="1"/>
    <col min="13835" max="13835" width="8.5703125" style="393" bestFit="1" customWidth="1"/>
    <col min="13836" max="13836" width="8.85546875" style="393" customWidth="1"/>
    <col min="13837" max="13837" width="9.28515625" style="393" bestFit="1" customWidth="1"/>
    <col min="13838" max="13838" width="10.28515625" style="393" bestFit="1" customWidth="1"/>
    <col min="13839" max="13839" width="12.140625" style="393" customWidth="1"/>
    <col min="13840" max="13841" width="9.28515625" style="393" bestFit="1" customWidth="1"/>
    <col min="13842" max="13842" width="11.28515625" style="393" bestFit="1" customWidth="1"/>
    <col min="13843" max="14080" width="9.140625" style="393"/>
    <col min="14081" max="14081" width="12.7109375" style="393" customWidth="1"/>
    <col min="14082" max="14082" width="10.85546875" style="393" bestFit="1" customWidth="1"/>
    <col min="14083" max="14083" width="12.85546875" style="393" customWidth="1"/>
    <col min="14084" max="14084" width="6.140625" style="393" bestFit="1" customWidth="1"/>
    <col min="14085" max="14085" width="13.28515625" style="393" customWidth="1"/>
    <col min="14086" max="14086" width="9" style="393" customWidth="1"/>
    <col min="14087" max="14087" width="11" style="393" customWidth="1"/>
    <col min="14088" max="14088" width="7.28515625" style="393" customWidth="1"/>
    <col min="14089" max="14089" width="10.85546875" style="393" customWidth="1"/>
    <col min="14090" max="14090" width="6" style="393" customWidth="1"/>
    <col min="14091" max="14091" width="8.5703125" style="393" bestFit="1" customWidth="1"/>
    <col min="14092" max="14092" width="8.85546875" style="393" customWidth="1"/>
    <col min="14093" max="14093" width="9.28515625" style="393" bestFit="1" customWidth="1"/>
    <col min="14094" max="14094" width="10.28515625" style="393" bestFit="1" customWidth="1"/>
    <col min="14095" max="14095" width="12.140625" style="393" customWidth="1"/>
    <col min="14096" max="14097" width="9.28515625" style="393" bestFit="1" customWidth="1"/>
    <col min="14098" max="14098" width="11.28515625" style="393" bestFit="1" customWidth="1"/>
    <col min="14099" max="14336" width="9.140625" style="393"/>
    <col min="14337" max="14337" width="12.7109375" style="393" customWidth="1"/>
    <col min="14338" max="14338" width="10.85546875" style="393" bestFit="1" customWidth="1"/>
    <col min="14339" max="14339" width="12.85546875" style="393" customWidth="1"/>
    <col min="14340" max="14340" width="6.140625" style="393" bestFit="1" customWidth="1"/>
    <col min="14341" max="14341" width="13.28515625" style="393" customWidth="1"/>
    <col min="14342" max="14342" width="9" style="393" customWidth="1"/>
    <col min="14343" max="14343" width="11" style="393" customWidth="1"/>
    <col min="14344" max="14344" width="7.28515625" style="393" customWidth="1"/>
    <col min="14345" max="14345" width="10.85546875" style="393" customWidth="1"/>
    <col min="14346" max="14346" width="6" style="393" customWidth="1"/>
    <col min="14347" max="14347" width="8.5703125" style="393" bestFit="1" customWidth="1"/>
    <col min="14348" max="14348" width="8.85546875" style="393" customWidth="1"/>
    <col min="14349" max="14349" width="9.28515625" style="393" bestFit="1" customWidth="1"/>
    <col min="14350" max="14350" width="10.28515625" style="393" bestFit="1" customWidth="1"/>
    <col min="14351" max="14351" width="12.140625" style="393" customWidth="1"/>
    <col min="14352" max="14353" width="9.28515625" style="393" bestFit="1" customWidth="1"/>
    <col min="14354" max="14354" width="11.28515625" style="393" bestFit="1" customWidth="1"/>
    <col min="14355" max="14592" width="9.140625" style="393"/>
    <col min="14593" max="14593" width="12.7109375" style="393" customWidth="1"/>
    <col min="14594" max="14594" width="10.85546875" style="393" bestFit="1" customWidth="1"/>
    <col min="14595" max="14595" width="12.85546875" style="393" customWidth="1"/>
    <col min="14596" max="14596" width="6.140625" style="393" bestFit="1" customWidth="1"/>
    <col min="14597" max="14597" width="13.28515625" style="393" customWidth="1"/>
    <col min="14598" max="14598" width="9" style="393" customWidth="1"/>
    <col min="14599" max="14599" width="11" style="393" customWidth="1"/>
    <col min="14600" max="14600" width="7.28515625" style="393" customWidth="1"/>
    <col min="14601" max="14601" width="10.85546875" style="393" customWidth="1"/>
    <col min="14602" max="14602" width="6" style="393" customWidth="1"/>
    <col min="14603" max="14603" width="8.5703125" style="393" bestFit="1" customWidth="1"/>
    <col min="14604" max="14604" width="8.85546875" style="393" customWidth="1"/>
    <col min="14605" max="14605" width="9.28515625" style="393" bestFit="1" customWidth="1"/>
    <col min="14606" max="14606" width="10.28515625" style="393" bestFit="1" customWidth="1"/>
    <col min="14607" max="14607" width="12.140625" style="393" customWidth="1"/>
    <col min="14608" max="14609" width="9.28515625" style="393" bestFit="1" customWidth="1"/>
    <col min="14610" max="14610" width="11.28515625" style="393" bestFit="1" customWidth="1"/>
    <col min="14611" max="14848" width="9.140625" style="393"/>
    <col min="14849" max="14849" width="12.7109375" style="393" customWidth="1"/>
    <col min="14850" max="14850" width="10.85546875" style="393" bestFit="1" customWidth="1"/>
    <col min="14851" max="14851" width="12.85546875" style="393" customWidth="1"/>
    <col min="14852" max="14852" width="6.140625" style="393" bestFit="1" customWidth="1"/>
    <col min="14853" max="14853" width="13.28515625" style="393" customWidth="1"/>
    <col min="14854" max="14854" width="9" style="393" customWidth="1"/>
    <col min="14855" max="14855" width="11" style="393" customWidth="1"/>
    <col min="14856" max="14856" width="7.28515625" style="393" customWidth="1"/>
    <col min="14857" max="14857" width="10.85546875" style="393" customWidth="1"/>
    <col min="14858" max="14858" width="6" style="393" customWidth="1"/>
    <col min="14859" max="14859" width="8.5703125" style="393" bestFit="1" customWidth="1"/>
    <col min="14860" max="14860" width="8.85546875" style="393" customWidth="1"/>
    <col min="14861" max="14861" width="9.28515625" style="393" bestFit="1" customWidth="1"/>
    <col min="14862" max="14862" width="10.28515625" style="393" bestFit="1" customWidth="1"/>
    <col min="14863" max="14863" width="12.140625" style="393" customWidth="1"/>
    <col min="14864" max="14865" width="9.28515625" style="393" bestFit="1" customWidth="1"/>
    <col min="14866" max="14866" width="11.28515625" style="393" bestFit="1" customWidth="1"/>
    <col min="14867" max="15104" width="9.140625" style="393"/>
    <col min="15105" max="15105" width="12.7109375" style="393" customWidth="1"/>
    <col min="15106" max="15106" width="10.85546875" style="393" bestFit="1" customWidth="1"/>
    <col min="15107" max="15107" width="12.85546875" style="393" customWidth="1"/>
    <col min="15108" max="15108" width="6.140625" style="393" bestFit="1" customWidth="1"/>
    <col min="15109" max="15109" width="13.28515625" style="393" customWidth="1"/>
    <col min="15110" max="15110" width="9" style="393" customWidth="1"/>
    <col min="15111" max="15111" width="11" style="393" customWidth="1"/>
    <col min="15112" max="15112" width="7.28515625" style="393" customWidth="1"/>
    <col min="15113" max="15113" width="10.85546875" style="393" customWidth="1"/>
    <col min="15114" max="15114" width="6" style="393" customWidth="1"/>
    <col min="15115" max="15115" width="8.5703125" style="393" bestFit="1" customWidth="1"/>
    <col min="15116" max="15116" width="8.85546875" style="393" customWidth="1"/>
    <col min="15117" max="15117" width="9.28515625" style="393" bestFit="1" customWidth="1"/>
    <col min="15118" max="15118" width="10.28515625" style="393" bestFit="1" customWidth="1"/>
    <col min="15119" max="15119" width="12.140625" style="393" customWidth="1"/>
    <col min="15120" max="15121" width="9.28515625" style="393" bestFit="1" customWidth="1"/>
    <col min="15122" max="15122" width="11.28515625" style="393" bestFit="1" customWidth="1"/>
    <col min="15123" max="15360" width="9.140625" style="393"/>
    <col min="15361" max="15361" width="12.7109375" style="393" customWidth="1"/>
    <col min="15362" max="15362" width="10.85546875" style="393" bestFit="1" customWidth="1"/>
    <col min="15363" max="15363" width="12.85546875" style="393" customWidth="1"/>
    <col min="15364" max="15364" width="6.140625" style="393" bestFit="1" customWidth="1"/>
    <col min="15365" max="15365" width="13.28515625" style="393" customWidth="1"/>
    <col min="15366" max="15366" width="9" style="393" customWidth="1"/>
    <col min="15367" max="15367" width="11" style="393" customWidth="1"/>
    <col min="15368" max="15368" width="7.28515625" style="393" customWidth="1"/>
    <col min="15369" max="15369" width="10.85546875" style="393" customWidth="1"/>
    <col min="15370" max="15370" width="6" style="393" customWidth="1"/>
    <col min="15371" max="15371" width="8.5703125" style="393" bestFit="1" customWidth="1"/>
    <col min="15372" max="15372" width="8.85546875" style="393" customWidth="1"/>
    <col min="15373" max="15373" width="9.28515625" style="393" bestFit="1" customWidth="1"/>
    <col min="15374" max="15374" width="10.28515625" style="393" bestFit="1" customWidth="1"/>
    <col min="15375" max="15375" width="12.140625" style="393" customWidth="1"/>
    <col min="15376" max="15377" width="9.28515625" style="393" bestFit="1" customWidth="1"/>
    <col min="15378" max="15378" width="11.28515625" style="393" bestFit="1" customWidth="1"/>
    <col min="15379" max="15616" width="9.140625" style="393"/>
    <col min="15617" max="15617" width="12.7109375" style="393" customWidth="1"/>
    <col min="15618" max="15618" width="10.85546875" style="393" bestFit="1" customWidth="1"/>
    <col min="15619" max="15619" width="12.85546875" style="393" customWidth="1"/>
    <col min="15620" max="15620" width="6.140625" style="393" bestFit="1" customWidth="1"/>
    <col min="15621" max="15621" width="13.28515625" style="393" customWidth="1"/>
    <col min="15622" max="15622" width="9" style="393" customWidth="1"/>
    <col min="15623" max="15623" width="11" style="393" customWidth="1"/>
    <col min="15624" max="15624" width="7.28515625" style="393" customWidth="1"/>
    <col min="15625" max="15625" width="10.85546875" style="393" customWidth="1"/>
    <col min="15626" max="15626" width="6" style="393" customWidth="1"/>
    <col min="15627" max="15627" width="8.5703125" style="393" bestFit="1" customWidth="1"/>
    <col min="15628" max="15628" width="8.85546875" style="393" customWidth="1"/>
    <col min="15629" max="15629" width="9.28515625" style="393" bestFit="1" customWidth="1"/>
    <col min="15630" max="15630" width="10.28515625" style="393" bestFit="1" customWidth="1"/>
    <col min="15631" max="15631" width="12.140625" style="393" customWidth="1"/>
    <col min="15632" max="15633" width="9.28515625" style="393" bestFit="1" customWidth="1"/>
    <col min="15634" max="15634" width="11.28515625" style="393" bestFit="1" customWidth="1"/>
    <col min="15635" max="15872" width="9.140625" style="393"/>
    <col min="15873" max="15873" width="12.7109375" style="393" customWidth="1"/>
    <col min="15874" max="15874" width="10.85546875" style="393" bestFit="1" customWidth="1"/>
    <col min="15875" max="15875" width="12.85546875" style="393" customWidth="1"/>
    <col min="15876" max="15876" width="6.140625" style="393" bestFit="1" customWidth="1"/>
    <col min="15877" max="15877" width="13.28515625" style="393" customWidth="1"/>
    <col min="15878" max="15878" width="9" style="393" customWidth="1"/>
    <col min="15879" max="15879" width="11" style="393" customWidth="1"/>
    <col min="15880" max="15880" width="7.28515625" style="393" customWidth="1"/>
    <col min="15881" max="15881" width="10.85546875" style="393" customWidth="1"/>
    <col min="15882" max="15882" width="6" style="393" customWidth="1"/>
    <col min="15883" max="15883" width="8.5703125" style="393" bestFit="1" customWidth="1"/>
    <col min="15884" max="15884" width="8.85546875" style="393" customWidth="1"/>
    <col min="15885" max="15885" width="9.28515625" style="393" bestFit="1" customWidth="1"/>
    <col min="15886" max="15886" width="10.28515625" style="393" bestFit="1" customWidth="1"/>
    <col min="15887" max="15887" width="12.140625" style="393" customWidth="1"/>
    <col min="15888" max="15889" width="9.28515625" style="393" bestFit="1" customWidth="1"/>
    <col min="15890" max="15890" width="11.28515625" style="393" bestFit="1" customWidth="1"/>
    <col min="15891" max="16128" width="9.140625" style="393"/>
    <col min="16129" max="16129" width="12.7109375" style="393" customWidth="1"/>
    <col min="16130" max="16130" width="10.85546875" style="393" bestFit="1" customWidth="1"/>
    <col min="16131" max="16131" width="12.85546875" style="393" customWidth="1"/>
    <col min="16132" max="16132" width="6.140625" style="393" bestFit="1" customWidth="1"/>
    <col min="16133" max="16133" width="13.28515625" style="393" customWidth="1"/>
    <col min="16134" max="16134" width="9" style="393" customWidth="1"/>
    <col min="16135" max="16135" width="11" style="393" customWidth="1"/>
    <col min="16136" max="16136" width="7.28515625" style="393" customWidth="1"/>
    <col min="16137" max="16137" width="10.85546875" style="393" customWidth="1"/>
    <col min="16138" max="16138" width="6" style="393" customWidth="1"/>
    <col min="16139" max="16139" width="8.5703125" style="393" bestFit="1" customWidth="1"/>
    <col min="16140" max="16140" width="8.85546875" style="393" customWidth="1"/>
    <col min="16141" max="16141" width="9.28515625" style="393" bestFit="1" customWidth="1"/>
    <col min="16142" max="16142" width="10.28515625" style="393" bestFit="1" customWidth="1"/>
    <col min="16143" max="16143" width="12.140625" style="393" customWidth="1"/>
    <col min="16144" max="16145" width="9.28515625" style="393" bestFit="1" customWidth="1"/>
    <col min="16146" max="16146" width="11.28515625" style="393" bestFit="1" customWidth="1"/>
    <col min="16147" max="16384" width="9.140625" style="393"/>
  </cols>
  <sheetData>
    <row r="1" spans="1:31" ht="12.75" customHeight="1" x14ac:dyDescent="0.3">
      <c r="A1" s="391" t="s">
        <v>44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2"/>
      <c r="N1" s="392"/>
      <c r="O1" s="392"/>
      <c r="P1" s="392"/>
    </row>
    <row r="2" spans="1:31" ht="12.75" customHeight="1" x14ac:dyDescent="0.3">
      <c r="A2" s="391" t="s">
        <v>63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2"/>
      <c r="N2" s="392"/>
      <c r="O2" s="392"/>
      <c r="P2" s="392"/>
    </row>
    <row r="3" spans="1:31" ht="15" x14ac:dyDescent="0.3">
      <c r="A3" s="26" t="s">
        <v>42</v>
      </c>
      <c r="B3" s="394"/>
      <c r="C3" s="395" t="s">
        <v>274</v>
      </c>
      <c r="D3" s="215"/>
      <c r="E3" s="215"/>
      <c r="F3" s="215" t="s">
        <v>51</v>
      </c>
      <c r="G3" s="396"/>
      <c r="H3" s="396"/>
      <c r="I3" s="396"/>
      <c r="J3" s="396"/>
      <c r="K3" s="396"/>
      <c r="L3" s="397"/>
    </row>
    <row r="4" spans="1:31" ht="17.25" x14ac:dyDescent="0.35">
      <c r="A4" s="26" t="s">
        <v>275</v>
      </c>
      <c r="B4" s="26"/>
      <c r="C4" s="398">
        <v>627.5</v>
      </c>
      <c r="D4" s="26"/>
      <c r="E4" s="26"/>
      <c r="F4" s="399"/>
      <c r="G4" s="399"/>
      <c r="H4" s="396"/>
      <c r="I4" s="396"/>
      <c r="J4" s="396"/>
      <c r="K4" s="396"/>
      <c r="L4" s="397"/>
    </row>
    <row r="5" spans="1:31" ht="17.25" x14ac:dyDescent="0.35">
      <c r="A5" s="26" t="s">
        <v>47</v>
      </c>
      <c r="B5" s="26"/>
      <c r="C5" s="398" t="s">
        <v>241</v>
      </c>
      <c r="D5" s="26"/>
      <c r="E5" s="26"/>
      <c r="F5" s="399"/>
      <c r="G5" s="399"/>
      <c r="H5" s="396"/>
      <c r="I5" s="396"/>
      <c r="J5" s="396"/>
      <c r="K5" s="396"/>
      <c r="L5" s="397"/>
    </row>
    <row r="6" spans="1:31" ht="17.25" x14ac:dyDescent="0.35">
      <c r="A6" s="26" t="s">
        <v>276</v>
      </c>
      <c r="B6" s="26"/>
      <c r="C6" s="400">
        <v>109.83</v>
      </c>
      <c r="D6" s="26" t="s">
        <v>277</v>
      </c>
      <c r="E6" s="27"/>
      <c r="F6" s="401"/>
      <c r="G6" s="396"/>
      <c r="H6" s="396"/>
      <c r="I6" s="396"/>
      <c r="J6" s="396"/>
      <c r="K6" s="396"/>
      <c r="L6" s="397"/>
    </row>
    <row r="7" spans="1:31" ht="17.25" x14ac:dyDescent="0.35">
      <c r="A7" s="26" t="s">
        <v>278</v>
      </c>
      <c r="B7" s="26"/>
      <c r="C7" s="400">
        <v>94.69</v>
      </c>
      <c r="D7" s="26" t="s">
        <v>277</v>
      </c>
      <c r="E7" s="27"/>
      <c r="F7" s="401"/>
      <c r="G7" s="399"/>
      <c r="H7" s="396"/>
      <c r="I7" s="396"/>
      <c r="J7" s="396"/>
      <c r="K7" s="396"/>
      <c r="L7" s="397"/>
    </row>
    <row r="8" spans="1:31" ht="14.25" thickBot="1" x14ac:dyDescent="0.35">
      <c r="A8" s="402" t="s">
        <v>14</v>
      </c>
      <c r="B8" s="402"/>
      <c r="C8" s="402"/>
      <c r="D8" s="396"/>
      <c r="E8" s="396"/>
      <c r="F8" s="396"/>
      <c r="G8" s="396"/>
      <c r="H8" s="396"/>
      <c r="I8" s="396"/>
      <c r="J8" s="396"/>
      <c r="K8" s="396"/>
      <c r="L8" s="396"/>
    </row>
    <row r="9" spans="1:31" ht="15" x14ac:dyDescent="0.3">
      <c r="A9" s="403" t="s">
        <v>15</v>
      </c>
      <c r="B9" s="404" t="s">
        <v>16</v>
      </c>
      <c r="C9" s="405"/>
      <c r="D9" s="215"/>
      <c r="E9" s="215"/>
      <c r="F9" s="215"/>
      <c r="G9" s="215"/>
      <c r="H9" s="215"/>
      <c r="I9" s="215"/>
      <c r="J9" s="215"/>
      <c r="K9" s="215"/>
      <c r="L9" s="215"/>
    </row>
    <row r="10" spans="1:31" ht="18" thickBot="1" x14ac:dyDescent="0.4">
      <c r="A10" s="406"/>
      <c r="B10" s="407" t="s">
        <v>17</v>
      </c>
      <c r="C10" s="408" t="s">
        <v>18</v>
      </c>
      <c r="D10" s="215"/>
      <c r="E10" s="399"/>
      <c r="F10" s="399"/>
      <c r="G10" s="399"/>
      <c r="H10" s="399"/>
      <c r="I10" s="399"/>
      <c r="J10" s="399"/>
      <c r="K10" s="399"/>
      <c r="L10" s="399"/>
    </row>
    <row r="11" spans="1:31" ht="18" thickBot="1" x14ac:dyDescent="0.4">
      <c r="A11" s="409">
        <v>1990</v>
      </c>
      <c r="B11" s="390">
        <f>M15</f>
        <v>79.3</v>
      </c>
      <c r="C11" s="410">
        <f t="shared" ref="C11:C17" si="0">IF(B11="","",LOG(B11))</f>
        <v>1.8992731873176039</v>
      </c>
      <c r="D11" s="215"/>
      <c r="E11" s="399"/>
      <c r="F11" s="399"/>
      <c r="G11" s="399"/>
      <c r="H11" s="399"/>
      <c r="I11" s="399"/>
      <c r="J11" s="399"/>
      <c r="K11" s="399"/>
      <c r="L11" s="399" t="s">
        <v>279</v>
      </c>
    </row>
    <row r="12" spans="1:31" ht="18" thickBot="1" x14ac:dyDescent="0.4">
      <c r="A12" s="411">
        <f>1+A11</f>
        <v>1991</v>
      </c>
      <c r="B12" s="390">
        <f t="shared" ref="B12:B17" si="1">M16</f>
        <v>68.7</v>
      </c>
      <c r="C12" s="410">
        <f t="shared" si="0"/>
        <v>1.8369567370595505</v>
      </c>
      <c r="D12" s="215"/>
      <c r="E12" s="399"/>
      <c r="F12" s="399"/>
      <c r="G12" s="399"/>
      <c r="H12" s="399"/>
      <c r="I12" s="399"/>
      <c r="J12" s="399"/>
      <c r="K12" s="399"/>
      <c r="L12" s="399" t="s">
        <v>280</v>
      </c>
    </row>
    <row r="13" spans="1:31" ht="18" thickBot="1" x14ac:dyDescent="0.4">
      <c r="A13" s="411">
        <f t="shared" ref="A13:A27" si="2">1+A12</f>
        <v>1992</v>
      </c>
      <c r="B13" s="390">
        <f t="shared" si="1"/>
        <v>42.5</v>
      </c>
      <c r="C13" s="410">
        <f t="shared" si="0"/>
        <v>1.6283889300503116</v>
      </c>
      <c r="D13" s="215"/>
      <c r="E13" s="399"/>
      <c r="F13" s="412"/>
      <c r="G13" s="412"/>
      <c r="H13" s="412"/>
      <c r="I13" s="413"/>
      <c r="J13" s="399"/>
      <c r="L13" s="399" t="s">
        <v>281</v>
      </c>
      <c r="M13" s="393" t="s">
        <v>282</v>
      </c>
      <c r="N13" s="393" t="s">
        <v>283</v>
      </c>
      <c r="O13" s="393" t="s">
        <v>13</v>
      </c>
      <c r="P13" s="393" t="s">
        <v>282</v>
      </c>
      <c r="Q13" s="393" t="s">
        <v>283</v>
      </c>
      <c r="R13" s="393" t="s">
        <v>13</v>
      </c>
    </row>
    <row r="14" spans="1:31" ht="18" thickBot="1" x14ac:dyDescent="0.4">
      <c r="A14" s="411">
        <f t="shared" si="2"/>
        <v>1993</v>
      </c>
      <c r="B14" s="390">
        <f t="shared" si="1"/>
        <v>54.5</v>
      </c>
      <c r="C14" s="410">
        <f t="shared" si="0"/>
        <v>1.7363965022766426</v>
      </c>
      <c r="D14" s="215"/>
      <c r="E14" s="399"/>
      <c r="F14" s="412"/>
      <c r="G14" s="412"/>
      <c r="H14" s="412"/>
      <c r="I14" s="414"/>
      <c r="J14" s="401"/>
      <c r="K14" s="399"/>
      <c r="L14" s="399"/>
      <c r="M14" s="415" t="s">
        <v>284</v>
      </c>
      <c r="N14" s="415" t="s">
        <v>285</v>
      </c>
      <c r="O14" s="415"/>
      <c r="P14" s="416" t="s">
        <v>284</v>
      </c>
      <c r="Q14" s="416" t="s">
        <v>285</v>
      </c>
      <c r="R14" s="416"/>
    </row>
    <row r="15" spans="1:31" ht="15.75" customHeight="1" thickBot="1" x14ac:dyDescent="0.4">
      <c r="A15" s="411">
        <f t="shared" si="2"/>
        <v>1994</v>
      </c>
      <c r="B15" s="390">
        <f t="shared" si="1"/>
        <v>37.1</v>
      </c>
      <c r="C15" s="410">
        <f t="shared" si="0"/>
        <v>1.5693739096150459</v>
      </c>
      <c r="D15" s="215"/>
      <c r="E15" s="399"/>
      <c r="F15" s="412"/>
      <c r="G15" s="412"/>
      <c r="H15" s="412"/>
      <c r="I15" s="215"/>
      <c r="J15" s="215"/>
      <c r="K15" s="215"/>
      <c r="L15" s="213">
        <v>1990</v>
      </c>
      <c r="M15" s="213">
        <v>79.3</v>
      </c>
      <c r="N15" s="213">
        <v>3.15</v>
      </c>
      <c r="O15" s="213" t="s">
        <v>286</v>
      </c>
      <c r="P15" s="213">
        <v>2.1</v>
      </c>
      <c r="Q15" s="213">
        <v>1.51</v>
      </c>
      <c r="R15" s="417">
        <v>33028</v>
      </c>
      <c r="AC15" s="393" t="s">
        <v>287</v>
      </c>
      <c r="AD15" s="393" t="s">
        <v>288</v>
      </c>
      <c r="AE15" s="393" t="s">
        <v>289</v>
      </c>
    </row>
    <row r="16" spans="1:31" ht="18" thickBot="1" x14ac:dyDescent="0.4">
      <c r="A16" s="411">
        <f t="shared" si="2"/>
        <v>1995</v>
      </c>
      <c r="B16" s="390">
        <f t="shared" si="1"/>
        <v>36.1</v>
      </c>
      <c r="C16" s="410">
        <f t="shared" si="0"/>
        <v>1.5575072019056579</v>
      </c>
      <c r="D16" s="215"/>
      <c r="E16" s="399"/>
      <c r="F16" s="215"/>
      <c r="G16" s="215"/>
      <c r="H16" s="215"/>
      <c r="I16" s="215"/>
      <c r="J16" s="215"/>
      <c r="K16" s="215"/>
      <c r="L16" s="213">
        <v>1991</v>
      </c>
      <c r="M16" s="213">
        <v>68.7</v>
      </c>
      <c r="N16" s="213">
        <v>3.01</v>
      </c>
      <c r="O16" s="417">
        <v>33276</v>
      </c>
      <c r="P16" s="213">
        <v>2</v>
      </c>
      <c r="Q16" s="213">
        <v>1.5</v>
      </c>
      <c r="R16" s="213" t="s">
        <v>290</v>
      </c>
      <c r="AC16" s="393" t="s">
        <v>282</v>
      </c>
      <c r="AD16" s="393" t="s">
        <v>283</v>
      </c>
      <c r="AE16" s="393" t="s">
        <v>13</v>
      </c>
    </row>
    <row r="17" spans="1:31" ht="18" thickBot="1" x14ac:dyDescent="0.4">
      <c r="A17" s="411">
        <f t="shared" si="2"/>
        <v>1996</v>
      </c>
      <c r="B17" s="390">
        <f t="shared" si="1"/>
        <v>42.5</v>
      </c>
      <c r="C17" s="410">
        <f t="shared" si="0"/>
        <v>1.6283889300503116</v>
      </c>
      <c r="D17" s="215"/>
      <c r="E17" s="399"/>
      <c r="F17" s="215"/>
      <c r="G17" s="215"/>
      <c r="H17" s="215"/>
      <c r="I17" s="215"/>
      <c r="J17" s="215"/>
      <c r="K17" s="215"/>
      <c r="L17" s="418">
        <v>1992</v>
      </c>
      <c r="M17" s="418">
        <v>42.5</v>
      </c>
      <c r="N17" s="418">
        <v>2.6</v>
      </c>
      <c r="O17" s="418" t="s">
        <v>291</v>
      </c>
      <c r="P17" s="418">
        <v>2.25</v>
      </c>
      <c r="Q17" s="418">
        <v>1.4</v>
      </c>
      <c r="R17" s="419">
        <v>33731</v>
      </c>
      <c r="AC17" s="393" t="s">
        <v>284</v>
      </c>
      <c r="AD17" s="393" t="s">
        <v>285</v>
      </c>
    </row>
    <row r="18" spans="1:31" ht="18" thickBot="1" x14ac:dyDescent="0.4">
      <c r="A18" s="411">
        <f t="shared" si="2"/>
        <v>1997</v>
      </c>
      <c r="B18" s="390"/>
      <c r="C18" s="410"/>
      <c r="D18" s="215"/>
      <c r="E18" s="399"/>
      <c r="F18" s="215"/>
      <c r="G18" s="215"/>
      <c r="H18" s="215"/>
      <c r="I18" s="215"/>
      <c r="J18" s="215"/>
      <c r="K18" s="215"/>
      <c r="L18" s="418">
        <v>1993</v>
      </c>
      <c r="M18" s="418">
        <v>54.5</v>
      </c>
      <c r="N18" s="418">
        <v>2.8</v>
      </c>
      <c r="O18" s="419">
        <v>34250</v>
      </c>
      <c r="P18" s="418">
        <v>2.52</v>
      </c>
      <c r="Q18" s="418">
        <v>1.42</v>
      </c>
      <c r="R18" s="418" t="s">
        <v>292</v>
      </c>
      <c r="Z18" s="420"/>
      <c r="AC18" s="393">
        <v>4.74</v>
      </c>
      <c r="AD18" s="393">
        <v>1.41</v>
      </c>
      <c r="AE18" s="420">
        <v>39143</v>
      </c>
    </row>
    <row r="19" spans="1:31" ht="18" thickBot="1" x14ac:dyDescent="0.4">
      <c r="A19" s="411">
        <f t="shared" si="2"/>
        <v>1998</v>
      </c>
      <c r="B19" s="390">
        <f>M23</f>
        <v>57.5</v>
      </c>
      <c r="C19" s="410">
        <f t="shared" ref="C19:C27" si="3">IF(B19="","",LOG(B19))</f>
        <v>1.7596678446896306</v>
      </c>
      <c r="D19" s="215"/>
      <c r="E19" s="399"/>
      <c r="F19" s="215"/>
      <c r="G19" s="215"/>
      <c r="H19" s="215"/>
      <c r="I19" s="215"/>
      <c r="J19" s="215"/>
      <c r="K19" s="215"/>
      <c r="L19" s="418">
        <v>1994</v>
      </c>
      <c r="M19" s="418">
        <v>37.1</v>
      </c>
      <c r="N19" s="418">
        <v>2.5</v>
      </c>
      <c r="O19" s="419">
        <v>34646</v>
      </c>
      <c r="P19" s="418">
        <v>1.32</v>
      </c>
      <c r="Q19" s="418">
        <v>1.31</v>
      </c>
      <c r="R19" s="418" t="s">
        <v>293</v>
      </c>
      <c r="Z19" s="420"/>
      <c r="AC19" s="393">
        <v>3.48</v>
      </c>
      <c r="AD19" s="393">
        <v>1.17</v>
      </c>
      <c r="AE19" s="393" t="s">
        <v>294</v>
      </c>
    </row>
    <row r="20" spans="1:31" ht="18" thickBot="1" x14ac:dyDescent="0.4">
      <c r="A20" s="411">
        <f t="shared" si="2"/>
        <v>1999</v>
      </c>
      <c r="B20" s="390">
        <f>M24</f>
        <v>64.5</v>
      </c>
      <c r="C20" s="410">
        <f t="shared" si="3"/>
        <v>1.8095597146352678</v>
      </c>
      <c r="D20" s="215"/>
      <c r="E20" s="399"/>
      <c r="F20" s="215"/>
      <c r="G20" s="215"/>
      <c r="H20" s="215"/>
      <c r="I20" s="215"/>
      <c r="J20" s="215"/>
      <c r="K20" s="215"/>
      <c r="L20" s="418">
        <v>1995</v>
      </c>
      <c r="M20" s="418">
        <v>36.1</v>
      </c>
      <c r="N20" s="418">
        <v>2.48</v>
      </c>
      <c r="O20" s="419">
        <v>34919</v>
      </c>
      <c r="P20" s="418">
        <v>2.39</v>
      </c>
      <c r="Q20" s="418">
        <v>1.41</v>
      </c>
      <c r="R20" s="418" t="s">
        <v>295</v>
      </c>
      <c r="AC20" s="393">
        <v>2.7</v>
      </c>
      <c r="AD20" s="393">
        <v>1.1299999999999999</v>
      </c>
      <c r="AE20" s="393" t="s">
        <v>296</v>
      </c>
    </row>
    <row r="21" spans="1:31" ht="18" thickBot="1" x14ac:dyDescent="0.4">
      <c r="A21" s="411">
        <f t="shared" si="2"/>
        <v>2000</v>
      </c>
      <c r="B21" s="390"/>
      <c r="C21" s="410" t="str">
        <f t="shared" si="3"/>
        <v/>
      </c>
      <c r="D21" s="215"/>
      <c r="E21" s="399"/>
      <c r="F21" s="421"/>
      <c r="G21" s="421"/>
      <c r="H21" s="215"/>
      <c r="I21" s="215"/>
      <c r="J21" s="215"/>
      <c r="K21" s="215"/>
      <c r="L21" s="418">
        <v>1996</v>
      </c>
      <c r="M21" s="418">
        <v>42.5</v>
      </c>
      <c r="N21" s="418">
        <v>2.6</v>
      </c>
      <c r="O21" s="418" t="s">
        <v>297</v>
      </c>
      <c r="P21" s="418">
        <v>1.53</v>
      </c>
      <c r="Q21" s="418">
        <v>1.33</v>
      </c>
      <c r="R21" s="418" t="s">
        <v>298</v>
      </c>
      <c r="Z21" s="420"/>
      <c r="AC21" s="393">
        <v>3.52</v>
      </c>
      <c r="AD21" s="393">
        <v>1.06</v>
      </c>
      <c r="AE21" s="393" t="s">
        <v>299</v>
      </c>
    </row>
    <row r="22" spans="1:31" ht="18" thickBot="1" x14ac:dyDescent="0.4">
      <c r="A22" s="411">
        <f t="shared" si="2"/>
        <v>2001</v>
      </c>
      <c r="B22" s="390">
        <f t="shared" ref="B22:B27" si="4">M26</f>
        <v>40.799999999999997</v>
      </c>
      <c r="C22" s="410">
        <f t="shared" si="3"/>
        <v>1.61066016308988</v>
      </c>
      <c r="D22" s="215"/>
      <c r="E22" s="399"/>
      <c r="F22" s="421"/>
      <c r="G22" s="421"/>
      <c r="H22" s="215"/>
      <c r="I22" s="215"/>
      <c r="J22" s="215"/>
      <c r="K22" s="215"/>
      <c r="L22" s="418">
        <v>1997</v>
      </c>
      <c r="M22" s="418">
        <v>1.63</v>
      </c>
      <c r="N22" s="418">
        <v>1.34</v>
      </c>
      <c r="O22" s="419" t="s">
        <v>300</v>
      </c>
      <c r="P22" s="418">
        <v>1.1499999999999999</v>
      </c>
      <c r="Q22" s="418">
        <v>1.29</v>
      </c>
      <c r="R22" s="419">
        <v>35613</v>
      </c>
      <c r="AC22" s="393">
        <v>3.88</v>
      </c>
      <c r="AD22" s="393">
        <v>1.08</v>
      </c>
      <c r="AE22" s="393" t="s">
        <v>301</v>
      </c>
    </row>
    <row r="23" spans="1:31" ht="18" thickBot="1" x14ac:dyDescent="0.4">
      <c r="A23" s="411">
        <f t="shared" si="2"/>
        <v>2002</v>
      </c>
      <c r="B23" s="390">
        <f t="shared" si="4"/>
        <v>55</v>
      </c>
      <c r="C23" s="410">
        <f t="shared" si="3"/>
        <v>1.7403626894942439</v>
      </c>
      <c r="D23" s="215"/>
      <c r="E23" s="399"/>
      <c r="F23" s="421"/>
      <c r="G23" s="421"/>
      <c r="H23" s="215"/>
      <c r="I23" s="215"/>
      <c r="J23" s="215"/>
      <c r="K23" s="215"/>
      <c r="L23" s="418">
        <v>1998</v>
      </c>
      <c r="M23" s="418">
        <v>57.5</v>
      </c>
      <c r="N23" s="418">
        <v>2.75</v>
      </c>
      <c r="O23" s="419">
        <v>36014</v>
      </c>
      <c r="P23" s="418">
        <v>0.65</v>
      </c>
      <c r="Q23" s="418">
        <v>1.22</v>
      </c>
      <c r="R23" s="418" t="s">
        <v>302</v>
      </c>
      <c r="Z23" s="420"/>
      <c r="AC23" s="393">
        <v>2.62</v>
      </c>
      <c r="AD23" s="393">
        <v>1.01</v>
      </c>
      <c r="AE23" s="420">
        <v>40912</v>
      </c>
    </row>
    <row r="24" spans="1:31" ht="18" thickBot="1" x14ac:dyDescent="0.4">
      <c r="A24" s="411">
        <f t="shared" si="2"/>
        <v>2003</v>
      </c>
      <c r="B24" s="390">
        <f t="shared" si="4"/>
        <v>46.2</v>
      </c>
      <c r="C24" s="410">
        <f t="shared" si="3"/>
        <v>1.6646419755561255</v>
      </c>
      <c r="D24" s="215"/>
      <c r="E24" s="399"/>
      <c r="F24" s="421"/>
      <c r="G24" s="421"/>
      <c r="H24" s="215"/>
      <c r="I24" s="215"/>
      <c r="J24" s="215"/>
      <c r="K24" s="215"/>
      <c r="L24" s="418">
        <v>1999</v>
      </c>
      <c r="M24" s="418">
        <v>64.5</v>
      </c>
      <c r="N24" s="418">
        <v>2.95</v>
      </c>
      <c r="O24" s="419">
        <v>36201</v>
      </c>
      <c r="P24" s="418">
        <v>1.76</v>
      </c>
      <c r="Q24" s="418">
        <v>1.22</v>
      </c>
      <c r="R24" s="419" t="s">
        <v>303</v>
      </c>
      <c r="Z24" s="420"/>
      <c r="AC24" s="393">
        <v>3.7</v>
      </c>
      <c r="AD24" s="393">
        <v>1.07</v>
      </c>
      <c r="AE24" s="393" t="s">
        <v>304</v>
      </c>
    </row>
    <row r="25" spans="1:31" ht="18" thickBot="1" x14ac:dyDescent="0.4">
      <c r="A25" s="411">
        <f t="shared" si="2"/>
        <v>2004</v>
      </c>
      <c r="B25" s="390">
        <f t="shared" si="4"/>
        <v>64</v>
      </c>
      <c r="C25" s="410">
        <f t="shared" si="3"/>
        <v>1.8061799739838871</v>
      </c>
      <c r="D25" s="215"/>
      <c r="E25" s="399"/>
      <c r="F25" s="421"/>
      <c r="G25" s="421"/>
      <c r="H25" s="215"/>
      <c r="I25" s="215"/>
      <c r="J25" s="215"/>
      <c r="K25" s="215"/>
      <c r="L25" s="418">
        <v>2000</v>
      </c>
      <c r="M25" s="418">
        <v>290</v>
      </c>
      <c r="N25" s="418">
        <v>4.9800000000000004</v>
      </c>
      <c r="O25" s="419">
        <v>36533</v>
      </c>
      <c r="P25" s="418">
        <v>0.47</v>
      </c>
      <c r="Q25" s="418">
        <v>1.19</v>
      </c>
      <c r="R25" s="418" t="s">
        <v>305</v>
      </c>
      <c r="AC25" s="393">
        <v>3.88</v>
      </c>
      <c r="AD25" s="393">
        <v>1.08</v>
      </c>
      <c r="AE25" s="393" t="s">
        <v>306</v>
      </c>
    </row>
    <row r="26" spans="1:31" ht="18" thickBot="1" x14ac:dyDescent="0.4">
      <c r="A26" s="411">
        <f t="shared" si="2"/>
        <v>2005</v>
      </c>
      <c r="B26" s="390">
        <f t="shared" si="4"/>
        <v>45.2</v>
      </c>
      <c r="C26" s="410">
        <f t="shared" si="3"/>
        <v>1.6551384348113822</v>
      </c>
      <c r="D26" s="215"/>
      <c r="E26" s="399"/>
      <c r="F26" s="421"/>
      <c r="G26" s="421"/>
      <c r="H26" s="215"/>
      <c r="I26" s="215"/>
      <c r="J26" s="215"/>
      <c r="K26" s="215"/>
      <c r="L26" s="418">
        <v>2001</v>
      </c>
      <c r="M26" s="418">
        <v>40.799999999999997</v>
      </c>
      <c r="N26" s="418">
        <v>2.39</v>
      </c>
      <c r="O26" s="418" t="s">
        <v>307</v>
      </c>
      <c r="P26" s="418">
        <v>1.22</v>
      </c>
      <c r="Q26" s="418">
        <v>1.3</v>
      </c>
      <c r="R26" s="419">
        <v>37137</v>
      </c>
      <c r="Z26" s="420"/>
      <c r="AC26" s="393">
        <v>4.24</v>
      </c>
      <c r="AD26" s="393">
        <v>1.1000000000000001</v>
      </c>
      <c r="AE26" s="420">
        <v>42281</v>
      </c>
    </row>
    <row r="27" spans="1:31" ht="18" thickBot="1" x14ac:dyDescent="0.4">
      <c r="A27" s="411">
        <f t="shared" si="2"/>
        <v>2006</v>
      </c>
      <c r="B27" s="390">
        <f t="shared" si="4"/>
        <v>35.200000000000003</v>
      </c>
      <c r="C27" s="410">
        <f t="shared" si="3"/>
        <v>1.546542663478131</v>
      </c>
      <c r="D27" s="215"/>
      <c r="E27" s="399"/>
      <c r="F27" s="421"/>
      <c r="G27" s="421"/>
      <c r="H27" s="215"/>
      <c r="I27" s="215"/>
      <c r="J27" s="215"/>
      <c r="K27" s="215"/>
      <c r="L27" s="418">
        <v>2002</v>
      </c>
      <c r="M27" s="418">
        <v>55</v>
      </c>
      <c r="N27" s="418">
        <v>2.7</v>
      </c>
      <c r="O27" s="418" t="s">
        <v>308</v>
      </c>
      <c r="P27" s="418">
        <v>2.67</v>
      </c>
      <c r="Q27" s="418">
        <v>1.29</v>
      </c>
      <c r="R27" s="419">
        <v>37318</v>
      </c>
    </row>
    <row r="28" spans="1:31" ht="18" thickBot="1" x14ac:dyDescent="0.4">
      <c r="A28" s="411"/>
      <c r="B28" s="390"/>
      <c r="C28" s="410"/>
      <c r="D28" s="215"/>
      <c r="E28" s="399"/>
      <c r="F28" s="421"/>
      <c r="G28" s="421"/>
      <c r="H28" s="215"/>
      <c r="I28" s="215"/>
      <c r="J28" s="215"/>
      <c r="K28" s="215"/>
      <c r="L28" s="418">
        <v>2003</v>
      </c>
      <c r="M28" s="418">
        <v>46.2</v>
      </c>
      <c r="N28" s="418">
        <v>2.52</v>
      </c>
      <c r="O28" s="418" t="s">
        <v>309</v>
      </c>
      <c r="P28" s="418">
        <v>2.54</v>
      </c>
      <c r="Q28" s="418">
        <v>1.28</v>
      </c>
      <c r="R28" s="418" t="s">
        <v>310</v>
      </c>
    </row>
    <row r="29" spans="1:31" ht="18" thickBot="1" x14ac:dyDescent="0.4">
      <c r="A29" s="411"/>
      <c r="B29" s="390"/>
      <c r="C29" s="410"/>
      <c r="D29" s="215"/>
      <c r="E29" s="399"/>
      <c r="F29" s="421"/>
      <c r="G29" s="421"/>
      <c r="H29" s="215"/>
      <c r="I29" s="215"/>
      <c r="J29" s="215"/>
      <c r="K29" s="215"/>
      <c r="L29" s="418">
        <v>2004</v>
      </c>
      <c r="M29" s="418">
        <v>64</v>
      </c>
      <c r="N29" s="418">
        <v>2.88</v>
      </c>
      <c r="O29" s="418" t="s">
        <v>311</v>
      </c>
      <c r="P29" s="418">
        <v>2.41</v>
      </c>
      <c r="Q29" s="418">
        <v>1.27</v>
      </c>
      <c r="R29" s="419">
        <v>38293</v>
      </c>
    </row>
    <row r="30" spans="1:31" ht="18" thickBot="1" x14ac:dyDescent="0.4">
      <c r="A30" s="411"/>
      <c r="B30" s="390"/>
      <c r="C30" s="410"/>
      <c r="D30" s="215"/>
      <c r="E30" s="399"/>
      <c r="F30" s="421"/>
      <c r="G30" s="421"/>
      <c r="H30" s="215"/>
      <c r="I30" s="215"/>
      <c r="J30" s="215"/>
      <c r="K30" s="215"/>
      <c r="L30" s="418">
        <v>2005</v>
      </c>
      <c r="M30" s="418">
        <v>45.2</v>
      </c>
      <c r="N30" s="418">
        <v>2.5</v>
      </c>
      <c r="O30" s="419" t="s">
        <v>312</v>
      </c>
      <c r="P30" s="418">
        <v>3.2</v>
      </c>
      <c r="Q30" s="418">
        <v>1.32</v>
      </c>
      <c r="R30" s="418" t="s">
        <v>313</v>
      </c>
    </row>
    <row r="31" spans="1:31" ht="18" thickBot="1" x14ac:dyDescent="0.4">
      <c r="A31" s="411"/>
      <c r="B31" s="390"/>
      <c r="C31" s="410"/>
      <c r="D31" s="215"/>
      <c r="E31" s="399"/>
      <c r="F31" s="421"/>
      <c r="G31" s="421"/>
      <c r="H31" s="215"/>
      <c r="I31" s="215"/>
      <c r="J31" s="215"/>
      <c r="K31" s="215"/>
      <c r="L31" s="418">
        <v>2006</v>
      </c>
      <c r="M31" s="418">
        <v>35.200000000000003</v>
      </c>
      <c r="N31" s="418">
        <v>2.25</v>
      </c>
      <c r="O31" s="418" t="s">
        <v>314</v>
      </c>
      <c r="P31" s="418">
        <v>1.63</v>
      </c>
      <c r="Q31" s="418">
        <v>1.34</v>
      </c>
      <c r="R31" s="419" t="s">
        <v>315</v>
      </c>
    </row>
    <row r="32" spans="1:31" ht="18" thickBot="1" x14ac:dyDescent="0.4">
      <c r="A32" s="411"/>
      <c r="B32" s="390"/>
      <c r="C32" s="410"/>
      <c r="D32" s="215"/>
      <c r="E32" s="399"/>
      <c r="F32" s="421"/>
      <c r="G32" s="421"/>
      <c r="H32" s="215"/>
      <c r="I32" s="215"/>
      <c r="J32" s="215"/>
      <c r="K32" s="215"/>
      <c r="L32" s="418"/>
      <c r="M32" s="418"/>
      <c r="N32" s="418"/>
      <c r="O32" s="418"/>
      <c r="P32" s="418"/>
      <c r="Q32" s="418"/>
      <c r="R32" s="418"/>
    </row>
    <row r="33" spans="1:18" ht="18" thickBot="1" x14ac:dyDescent="0.4">
      <c r="A33" s="411"/>
      <c r="B33" s="390"/>
      <c r="C33" s="410"/>
      <c r="D33" s="215"/>
      <c r="E33" s="399"/>
      <c r="F33" s="399"/>
      <c r="G33" s="399"/>
      <c r="H33" s="399"/>
      <c r="I33" s="399"/>
      <c r="J33" s="399"/>
      <c r="K33" s="399"/>
      <c r="L33" s="422"/>
      <c r="M33" s="422"/>
      <c r="N33" s="418"/>
      <c r="O33" s="418"/>
      <c r="P33" s="418"/>
      <c r="Q33" s="418"/>
      <c r="R33" s="418"/>
    </row>
    <row r="34" spans="1:18" ht="18" thickBot="1" x14ac:dyDescent="0.4">
      <c r="A34" s="411"/>
      <c r="B34" s="390"/>
      <c r="C34" s="410"/>
      <c r="D34" s="215"/>
      <c r="E34" s="399"/>
      <c r="F34" s="399"/>
      <c r="G34" s="399"/>
      <c r="H34" s="399"/>
      <c r="I34" s="399"/>
      <c r="J34" s="399"/>
      <c r="K34" s="399"/>
      <c r="L34" s="422"/>
      <c r="M34" s="422"/>
      <c r="N34" s="418"/>
      <c r="O34" s="418"/>
      <c r="P34" s="418"/>
      <c r="Q34" s="418"/>
      <c r="R34" s="418"/>
    </row>
    <row r="35" spans="1:18" ht="18" thickBot="1" x14ac:dyDescent="0.4">
      <c r="A35" s="411"/>
      <c r="B35" s="390"/>
      <c r="C35" s="410"/>
      <c r="D35" s="215"/>
      <c r="E35" s="399"/>
      <c r="F35" s="399"/>
      <c r="G35" s="399"/>
      <c r="H35" s="399"/>
      <c r="I35" s="399"/>
      <c r="J35" s="399"/>
      <c r="K35" s="399"/>
      <c r="L35" s="422"/>
      <c r="M35" s="422"/>
      <c r="N35" s="418"/>
      <c r="O35" s="419"/>
      <c r="P35" s="418"/>
      <c r="Q35" s="418"/>
      <c r="R35" s="418"/>
    </row>
    <row r="36" spans="1:18" ht="18" thickBot="1" x14ac:dyDescent="0.4">
      <c r="A36" s="411"/>
      <c r="B36" s="390"/>
      <c r="C36" s="410"/>
      <c r="D36" s="215"/>
      <c r="E36" s="399"/>
      <c r="F36" s="399"/>
      <c r="G36" s="399"/>
      <c r="H36" s="399"/>
      <c r="I36" s="423"/>
      <c r="J36" s="401"/>
      <c r="K36" s="399"/>
      <c r="L36" s="422"/>
      <c r="M36" s="422"/>
      <c r="N36" s="418"/>
      <c r="O36" s="419"/>
      <c r="P36" s="418"/>
      <c r="Q36" s="418"/>
      <c r="R36" s="419"/>
    </row>
    <row r="37" spans="1:18" ht="18" thickBot="1" x14ac:dyDescent="0.4">
      <c r="A37" s="411"/>
      <c r="B37" s="390"/>
      <c r="C37" s="410"/>
      <c r="D37" s="215"/>
      <c r="E37" s="399"/>
      <c r="F37" s="421"/>
      <c r="G37" s="421"/>
      <c r="H37" s="215"/>
      <c r="I37" s="215"/>
      <c r="J37" s="215"/>
      <c r="K37" s="215"/>
      <c r="L37" s="418"/>
      <c r="M37" s="418"/>
      <c r="N37" s="418"/>
      <c r="O37" s="419"/>
      <c r="P37" s="418"/>
      <c r="Q37" s="418"/>
      <c r="R37" s="419"/>
    </row>
    <row r="38" spans="1:18" ht="18" thickBot="1" x14ac:dyDescent="0.4">
      <c r="A38" s="411"/>
      <c r="B38" s="390"/>
      <c r="C38" s="410"/>
      <c r="D38" s="215"/>
      <c r="E38" s="399"/>
      <c r="F38" s="421"/>
      <c r="G38" s="421"/>
      <c r="H38" s="215"/>
      <c r="I38" s="215"/>
      <c r="J38" s="215"/>
      <c r="K38" s="215"/>
      <c r="L38" s="418"/>
      <c r="M38" s="418"/>
      <c r="N38" s="418"/>
      <c r="O38" s="418"/>
      <c r="P38" s="418"/>
      <c r="Q38" s="418"/>
      <c r="R38" s="418"/>
    </row>
    <row r="39" spans="1:18" ht="18" thickBot="1" x14ac:dyDescent="0.4">
      <c r="A39" s="411"/>
      <c r="B39" s="390"/>
      <c r="C39" s="410"/>
      <c r="D39" s="215"/>
      <c r="E39" s="399"/>
      <c r="F39" s="421"/>
      <c r="G39" s="421"/>
      <c r="H39" s="215"/>
      <c r="I39" s="215"/>
      <c r="J39" s="215"/>
      <c r="K39" s="215"/>
      <c r="L39" s="418"/>
      <c r="M39" s="418"/>
      <c r="N39" s="418"/>
      <c r="O39" s="418"/>
      <c r="P39" s="418"/>
      <c r="Q39" s="418"/>
      <c r="R39" s="419"/>
    </row>
    <row r="40" spans="1:18" ht="18" thickBot="1" x14ac:dyDescent="0.4">
      <c r="A40" s="411"/>
      <c r="B40" s="390"/>
      <c r="C40" s="410"/>
      <c r="D40" s="215"/>
      <c r="E40" s="399"/>
      <c r="F40" s="421"/>
      <c r="G40" s="421"/>
      <c r="H40" s="215"/>
      <c r="I40" s="215"/>
      <c r="J40" s="215"/>
      <c r="K40" s="215"/>
      <c r="L40" s="418"/>
      <c r="M40" s="418"/>
      <c r="N40" s="418"/>
      <c r="O40" s="419"/>
      <c r="P40" s="418"/>
      <c r="Q40" s="418"/>
      <c r="R40" s="419"/>
    </row>
    <row r="41" spans="1:18" ht="15.75" thickBot="1" x14ac:dyDescent="0.35">
      <c r="A41" s="411"/>
      <c r="B41" s="390"/>
      <c r="C41" s="410"/>
      <c r="D41" s="215"/>
      <c r="E41" s="215"/>
      <c r="F41" s="421"/>
      <c r="G41" s="421"/>
      <c r="H41" s="215"/>
      <c r="I41" s="215"/>
      <c r="J41" s="215"/>
      <c r="K41" s="215"/>
      <c r="L41" s="418"/>
      <c r="M41" s="418"/>
      <c r="N41" s="418"/>
      <c r="O41" s="418"/>
      <c r="P41" s="418"/>
      <c r="Q41" s="418"/>
      <c r="R41" s="418"/>
    </row>
    <row r="42" spans="1:18" ht="15.75" thickBot="1" x14ac:dyDescent="0.35">
      <c r="A42" s="411"/>
      <c r="B42" s="390"/>
      <c r="C42" s="410"/>
      <c r="D42" s="215"/>
      <c r="E42" s="215"/>
      <c r="F42" s="421"/>
      <c r="G42" s="421"/>
      <c r="H42" s="215"/>
      <c r="I42" s="215"/>
      <c r="J42" s="215"/>
      <c r="K42" s="215"/>
      <c r="L42" s="418"/>
      <c r="M42" s="418"/>
      <c r="N42" s="418"/>
      <c r="O42" s="418"/>
      <c r="P42" s="418"/>
      <c r="Q42" s="418"/>
      <c r="R42" s="419"/>
    </row>
    <row r="43" spans="1:18" ht="15.75" thickBot="1" x14ac:dyDescent="0.35">
      <c r="A43" s="411"/>
      <c r="B43" s="390"/>
      <c r="C43" s="410"/>
      <c r="D43" s="215"/>
      <c r="E43" s="215"/>
      <c r="F43" s="215"/>
      <c r="G43" s="215"/>
      <c r="H43" s="215"/>
      <c r="I43" s="215"/>
      <c r="J43" s="215"/>
      <c r="K43" s="215"/>
      <c r="L43" s="418"/>
      <c r="M43" s="418"/>
      <c r="N43" s="418"/>
      <c r="O43" s="418"/>
      <c r="P43" s="418"/>
      <c r="Q43" s="418"/>
      <c r="R43" s="418"/>
    </row>
    <row r="44" spans="1:18" ht="15.75" thickBot="1" x14ac:dyDescent="0.35">
      <c r="A44" s="411"/>
      <c r="B44" s="390"/>
      <c r="C44" s="410"/>
      <c r="D44" s="215"/>
      <c r="E44" s="215"/>
      <c r="F44" s="215"/>
      <c r="G44" s="215"/>
      <c r="H44" s="215"/>
      <c r="I44" s="215"/>
      <c r="J44" s="215"/>
      <c r="K44" s="215"/>
      <c r="L44" s="418"/>
      <c r="M44" s="418"/>
      <c r="N44" s="418"/>
      <c r="O44" s="418"/>
      <c r="P44" s="418"/>
      <c r="Q44" s="418"/>
      <c r="R44" s="418"/>
    </row>
    <row r="45" spans="1:18" ht="15.75" thickBot="1" x14ac:dyDescent="0.35">
      <c r="A45" s="411"/>
      <c r="B45" s="390"/>
      <c r="C45" s="410"/>
      <c r="D45" s="215"/>
      <c r="E45" s="215"/>
      <c r="F45" s="215"/>
      <c r="G45" s="215"/>
      <c r="H45" s="215"/>
      <c r="I45" s="215"/>
      <c r="J45" s="215"/>
      <c r="K45" s="215"/>
      <c r="L45" s="418"/>
      <c r="M45" s="418"/>
      <c r="N45" s="418"/>
      <c r="O45" s="418"/>
      <c r="P45" s="418"/>
      <c r="Q45" s="418"/>
      <c r="R45" s="419"/>
    </row>
    <row r="46" spans="1:18" ht="15.75" thickBot="1" x14ac:dyDescent="0.35">
      <c r="A46" s="411"/>
      <c r="B46" s="390"/>
      <c r="C46" s="410"/>
      <c r="D46" s="215"/>
      <c r="E46" s="215"/>
      <c r="F46" s="215"/>
      <c r="G46" s="215"/>
      <c r="H46" s="215"/>
      <c r="I46" s="215"/>
      <c r="J46" s="215"/>
      <c r="K46" s="215"/>
      <c r="L46" s="418"/>
      <c r="M46" s="418"/>
      <c r="N46" s="418"/>
      <c r="O46" s="419"/>
      <c r="P46" s="418"/>
      <c r="Q46" s="418"/>
      <c r="R46" s="418"/>
    </row>
    <row r="47" spans="1:18" ht="15.75" thickBot="1" x14ac:dyDescent="0.35">
      <c r="A47" s="411"/>
      <c r="B47" s="390"/>
      <c r="C47" s="410"/>
      <c r="D47" s="215"/>
      <c r="E47" s="215"/>
      <c r="F47" s="215"/>
      <c r="G47" s="215"/>
      <c r="H47" s="215"/>
      <c r="I47" s="215"/>
      <c r="J47" s="215"/>
      <c r="K47" s="215"/>
      <c r="L47" s="418"/>
      <c r="M47" s="418"/>
      <c r="N47" s="418"/>
      <c r="O47" s="418"/>
      <c r="P47" s="418"/>
      <c r="Q47" s="418"/>
      <c r="R47" s="419"/>
    </row>
    <row r="48" spans="1:18" ht="15.75" thickBot="1" x14ac:dyDescent="0.35">
      <c r="A48" s="411"/>
      <c r="B48" s="390"/>
      <c r="C48" s="410"/>
      <c r="D48" s="215"/>
      <c r="E48" s="215"/>
      <c r="F48" s="215"/>
      <c r="G48" s="215"/>
      <c r="H48" s="215"/>
      <c r="I48" s="215"/>
      <c r="J48" s="215"/>
      <c r="K48" s="215"/>
      <c r="L48" s="418"/>
      <c r="M48" s="418"/>
      <c r="N48" s="418"/>
      <c r="O48" s="419"/>
      <c r="P48" s="418"/>
      <c r="Q48" s="418"/>
      <c r="R48" s="419"/>
    </row>
    <row r="49" spans="1:18" ht="15.75" thickBot="1" x14ac:dyDescent="0.35">
      <c r="A49" s="411"/>
      <c r="B49" s="390"/>
      <c r="C49" s="410"/>
      <c r="D49" s="215"/>
      <c r="E49" s="215"/>
      <c r="F49" s="215"/>
      <c r="G49" s="215"/>
      <c r="H49" s="215"/>
      <c r="I49" s="215"/>
      <c r="J49" s="215"/>
      <c r="K49" s="215"/>
      <c r="L49" s="418"/>
      <c r="M49" s="418"/>
      <c r="N49" s="418"/>
      <c r="O49" s="418"/>
      <c r="P49" s="418"/>
      <c r="Q49" s="418"/>
      <c r="R49" s="418"/>
    </row>
    <row r="50" spans="1:18" ht="15.75" thickBot="1" x14ac:dyDescent="0.35">
      <c r="A50" s="411"/>
      <c r="B50" s="390"/>
      <c r="C50" s="410"/>
      <c r="D50" s="215"/>
      <c r="E50" s="215"/>
      <c r="F50" s="215"/>
      <c r="G50" s="215"/>
      <c r="H50" s="215"/>
      <c r="I50" s="215"/>
      <c r="J50" s="215"/>
      <c r="K50" s="215"/>
      <c r="L50" s="424"/>
      <c r="M50" s="424"/>
      <c r="N50" s="424"/>
      <c r="O50" s="425"/>
      <c r="P50" s="424"/>
      <c r="Q50" s="424"/>
      <c r="R50" s="425"/>
    </row>
    <row r="51" spans="1:18" ht="15.75" thickBot="1" x14ac:dyDescent="0.35">
      <c r="A51" s="411"/>
      <c r="B51" s="390"/>
      <c r="C51" s="410"/>
      <c r="D51" s="215"/>
      <c r="E51" s="215"/>
      <c r="F51" s="215"/>
      <c r="G51" s="269"/>
      <c r="H51" s="215"/>
      <c r="I51" s="215"/>
      <c r="J51" s="215"/>
      <c r="K51" s="215"/>
      <c r="L51" s="424"/>
      <c r="M51" s="424"/>
      <c r="N51" s="424"/>
      <c r="O51" s="425"/>
      <c r="P51" s="424"/>
      <c r="Q51" s="424"/>
      <c r="R51" s="424"/>
    </row>
    <row r="52" spans="1:18" ht="15.75" thickBot="1" x14ac:dyDescent="0.35">
      <c r="A52" s="411"/>
      <c r="B52" s="390"/>
      <c r="C52" s="410"/>
      <c r="D52" s="215"/>
      <c r="E52" s="215"/>
      <c r="F52" s="215"/>
      <c r="G52" s="269"/>
      <c r="H52" s="215"/>
      <c r="I52" s="215"/>
      <c r="J52" s="215"/>
      <c r="K52" s="215"/>
      <c r="L52" s="424"/>
      <c r="M52" s="424"/>
      <c r="N52" s="424"/>
      <c r="O52" s="424"/>
      <c r="P52" s="424"/>
      <c r="Q52" s="424"/>
      <c r="R52" s="424"/>
    </row>
    <row r="53" spans="1:18" ht="15.75" thickBot="1" x14ac:dyDescent="0.35">
      <c r="A53" s="411"/>
      <c r="B53" s="390"/>
      <c r="C53" s="410" t="str">
        <f>IF(B53="","",LOG(B53))</f>
        <v/>
      </c>
      <c r="D53" s="215"/>
      <c r="E53" s="215"/>
      <c r="F53" s="215"/>
      <c r="G53" s="215"/>
      <c r="H53" s="215"/>
      <c r="I53" s="215"/>
      <c r="J53" s="215"/>
      <c r="K53" s="215"/>
      <c r="L53" s="424"/>
      <c r="M53" s="424"/>
      <c r="N53" s="424"/>
      <c r="O53" s="425"/>
      <c r="P53" s="424"/>
      <c r="Q53" s="424"/>
      <c r="R53" s="424"/>
    </row>
    <row r="54" spans="1:18" ht="15" x14ac:dyDescent="0.2">
      <c r="A54" s="426"/>
      <c r="B54" s="427"/>
      <c r="C54" s="427"/>
      <c r="D54" s="428"/>
      <c r="E54" s="428"/>
      <c r="F54" s="428"/>
      <c r="G54" s="429"/>
      <c r="H54" s="428"/>
      <c r="I54" s="428"/>
      <c r="J54" s="428"/>
      <c r="K54" s="428"/>
      <c r="L54" s="424"/>
      <c r="M54" s="424"/>
      <c r="N54" s="424"/>
      <c r="O54" s="424"/>
      <c r="P54" s="424"/>
      <c r="Q54" s="424"/>
      <c r="R54" s="424"/>
    </row>
    <row r="55" spans="1:18" ht="15" x14ac:dyDescent="0.2">
      <c r="A55" s="428"/>
      <c r="B55" s="427"/>
      <c r="C55" s="427"/>
      <c r="D55" s="428"/>
      <c r="E55" s="428"/>
      <c r="F55" s="428"/>
      <c r="G55" s="428"/>
      <c r="H55" s="428"/>
      <c r="I55" s="428"/>
      <c r="J55" s="428"/>
      <c r="K55" s="428"/>
      <c r="L55" s="424"/>
      <c r="M55" s="424"/>
      <c r="N55" s="424"/>
      <c r="O55" s="425"/>
      <c r="P55" s="424"/>
      <c r="Q55" s="424"/>
      <c r="R55" s="425"/>
    </row>
    <row r="56" spans="1:18" ht="15" x14ac:dyDescent="0.2">
      <c r="L56" s="424"/>
      <c r="M56" s="424"/>
      <c r="N56" s="424"/>
      <c r="O56" s="425"/>
      <c r="P56" s="424"/>
      <c r="Q56" s="424"/>
      <c r="R56" s="424"/>
    </row>
    <row r="57" spans="1:18" ht="15" x14ac:dyDescent="0.2">
      <c r="L57" s="424"/>
      <c r="M57" s="424"/>
      <c r="N57" s="424"/>
      <c r="O57" s="424"/>
      <c r="P57" s="424"/>
      <c r="Q57" s="424"/>
      <c r="R57" s="424"/>
    </row>
    <row r="58" spans="1:18" ht="15" x14ac:dyDescent="0.2">
      <c r="L58" s="424"/>
      <c r="M58" s="424"/>
      <c r="N58" s="424"/>
      <c r="O58" s="425"/>
      <c r="P58" s="424"/>
      <c r="Q58" s="424"/>
      <c r="R58" s="425"/>
    </row>
    <row r="59" spans="1:18" ht="12.75" x14ac:dyDescent="0.2">
      <c r="L59" s="428"/>
    </row>
    <row r="60" spans="1:18" ht="12.75" x14ac:dyDescent="0.2">
      <c r="L60" s="428"/>
    </row>
    <row r="61" spans="1:18" ht="13.5" customHeight="1" thickBot="1" x14ac:dyDescent="0.25">
      <c r="A61" s="430" t="s">
        <v>19</v>
      </c>
      <c r="B61" s="430"/>
      <c r="C61" s="430"/>
      <c r="D61" s="428"/>
      <c r="E61" s="428"/>
      <c r="F61" s="428"/>
      <c r="G61" s="429"/>
      <c r="H61" s="428"/>
      <c r="I61" s="428"/>
      <c r="J61" s="428"/>
      <c r="K61" s="428"/>
      <c r="L61" s="431"/>
    </row>
    <row r="62" spans="1:18" ht="13.5" customHeight="1" x14ac:dyDescent="0.3">
      <c r="A62" s="432" t="s">
        <v>20</v>
      </c>
      <c r="B62" s="433">
        <f>AVERAGE($B$11:$B$27)</f>
        <v>51.273333333333341</v>
      </c>
      <c r="C62" s="434">
        <f>AVERAGE($C$11:$C$27)</f>
        <v>1.6966025905342448</v>
      </c>
      <c r="D62" s="435" t="s">
        <v>316</v>
      </c>
      <c r="E62" s="428"/>
      <c r="F62" s="428"/>
      <c r="G62" s="436"/>
      <c r="H62" s="428"/>
      <c r="I62" s="428"/>
      <c r="J62" s="428"/>
      <c r="K62" s="428"/>
      <c r="L62" s="437"/>
    </row>
    <row r="63" spans="1:18" ht="12.75" x14ac:dyDescent="0.2">
      <c r="A63" s="438" t="s">
        <v>21</v>
      </c>
      <c r="B63" s="439">
        <f>STDEV($B$11:$B$27)</f>
        <v>13.376123005813962</v>
      </c>
      <c r="C63" s="440">
        <f>STDEV($C$11:$C$27)</f>
        <v>0.11035740995665105</v>
      </c>
      <c r="D63" s="441" t="s">
        <v>22</v>
      </c>
      <c r="E63" s="428"/>
      <c r="F63" s="428"/>
      <c r="G63" s="428"/>
      <c r="H63" s="428"/>
      <c r="I63" s="428"/>
      <c r="J63" s="428"/>
      <c r="K63" s="428"/>
      <c r="L63" s="437"/>
    </row>
    <row r="64" spans="1:18" ht="16.5" thickBot="1" x14ac:dyDescent="0.35">
      <c r="A64" s="442" t="s">
        <v>23</v>
      </c>
      <c r="B64" s="443">
        <f>SKEW($B$11:$B$27)</f>
        <v>0.64266676089697461</v>
      </c>
      <c r="C64" s="444">
        <f>SKEW($C$11:$C$27)</f>
        <v>0.29073104673284961</v>
      </c>
      <c r="D64" s="445" t="s">
        <v>317</v>
      </c>
      <c r="E64" s="428"/>
      <c r="F64" s="428"/>
      <c r="G64" s="428"/>
      <c r="H64" s="428"/>
      <c r="I64" s="428"/>
      <c r="J64" s="428"/>
      <c r="K64" s="428"/>
      <c r="L64" s="446"/>
    </row>
    <row r="65" spans="1:12" ht="12.75" x14ac:dyDescent="0.2">
      <c r="A65" s="428"/>
      <c r="B65" s="428"/>
      <c r="C65" s="428"/>
      <c r="D65" s="428"/>
      <c r="E65" s="428"/>
      <c r="F65" s="428"/>
      <c r="G65" s="428"/>
      <c r="H65" s="428"/>
      <c r="I65" s="428"/>
      <c r="J65" s="428"/>
      <c r="K65" s="428"/>
      <c r="L65" s="447"/>
    </row>
    <row r="66" spans="1:12" ht="12.75" x14ac:dyDescent="0.2">
      <c r="A66" s="431" t="s">
        <v>24</v>
      </c>
      <c r="B66" s="431"/>
      <c r="C66" s="431"/>
      <c r="D66" s="431"/>
      <c r="E66" s="431"/>
      <c r="F66" s="431"/>
      <c r="G66" s="431"/>
      <c r="H66" s="431"/>
      <c r="I66" s="431"/>
      <c r="J66" s="431"/>
      <c r="K66" s="431"/>
      <c r="L66" s="447"/>
    </row>
    <row r="67" spans="1:12" ht="12.75" x14ac:dyDescent="0.2">
      <c r="A67" s="448"/>
      <c r="B67" s="448"/>
      <c r="C67" s="448"/>
      <c r="D67" s="459" t="s">
        <v>322</v>
      </c>
      <c r="E67" s="460"/>
      <c r="F67" s="460"/>
      <c r="G67" s="460"/>
      <c r="H67" s="460"/>
      <c r="I67" s="460"/>
      <c r="J67" s="460"/>
      <c r="K67" s="461"/>
      <c r="L67" s="447"/>
    </row>
    <row r="68" spans="1:12" ht="12.75" x14ac:dyDescent="0.2">
      <c r="A68" s="462" t="s">
        <v>25</v>
      </c>
      <c r="B68" s="449" t="s">
        <v>26</v>
      </c>
      <c r="C68" s="449"/>
      <c r="D68" s="463" t="s">
        <v>8</v>
      </c>
      <c r="E68" s="463"/>
      <c r="F68" s="463"/>
      <c r="G68" s="463" t="s">
        <v>27</v>
      </c>
      <c r="H68" s="463"/>
      <c r="I68" s="463"/>
      <c r="J68" s="463" t="s">
        <v>7</v>
      </c>
      <c r="K68" s="463"/>
      <c r="L68" s="447"/>
    </row>
    <row r="69" spans="1:12" ht="15.75" x14ac:dyDescent="0.3">
      <c r="A69" s="462"/>
      <c r="B69" s="449" t="s">
        <v>28</v>
      </c>
      <c r="C69" s="449" t="s">
        <v>29</v>
      </c>
      <c r="D69" s="449" t="s">
        <v>30</v>
      </c>
      <c r="E69" s="449" t="s">
        <v>318</v>
      </c>
      <c r="F69" s="449" t="s">
        <v>31</v>
      </c>
      <c r="G69" s="449" t="s">
        <v>319</v>
      </c>
      <c r="H69" s="449" t="s">
        <v>318</v>
      </c>
      <c r="I69" s="449" t="s">
        <v>31</v>
      </c>
      <c r="J69" s="449" t="s">
        <v>32</v>
      </c>
      <c r="K69" s="449" t="s">
        <v>33</v>
      </c>
      <c r="L69" s="447"/>
    </row>
    <row r="70" spans="1:12" ht="12.75" x14ac:dyDescent="0.2">
      <c r="A70" s="449">
        <v>1</v>
      </c>
      <c r="B70" s="450">
        <f>1/A70</f>
        <v>1</v>
      </c>
      <c r="C70" s="450">
        <f>SQRT(LN(1/B70^2))</f>
        <v>0</v>
      </c>
      <c r="D70" s="450">
        <f>C70-((2.51557+0.80285*C70+0.010328*C70^2)/(1+1.432788*C70+0.189269*C70^2+0.001308*C70^3))</f>
        <v>-2.5155699999999999</v>
      </c>
      <c r="E70" s="450">
        <f t="shared" ref="E70:E80" si="5">$C$62+D70*$C$63</f>
        <v>1.4189908007695922</v>
      </c>
      <c r="F70" s="451">
        <f>(10)^E70</f>
        <v>26.241629577476143</v>
      </c>
      <c r="G70" s="450">
        <f t="shared" ref="G70:G82" si="6">D70+(D70^2-1)*($C$64/6)+(D70^3-6*D70)*($C$64/6)^2/3-(D70^2-1)*($C$64/6)^3+D70*($C$64/6)^4+1/3*($C$64)^5</f>
        <v>-2.2579699595644462</v>
      </c>
      <c r="H70" s="450">
        <f t="shared" ref="H70:H82" si="7">$C$62+G70*$C$63</f>
        <v>1.4474188740367884</v>
      </c>
      <c r="I70" s="451">
        <f>(10)^H70</f>
        <v>28.016822201310184</v>
      </c>
      <c r="J70" s="452"/>
      <c r="K70" s="450"/>
      <c r="L70" s="447"/>
    </row>
    <row r="71" spans="1:12" ht="12.75" x14ac:dyDescent="0.2">
      <c r="A71" s="449">
        <v>2</v>
      </c>
      <c r="B71" s="450">
        <f>1/A71</f>
        <v>0.5</v>
      </c>
      <c r="C71" s="450">
        <f>SQRT(LN(1/B71^2))</f>
        <v>1.1774100225154747</v>
      </c>
      <c r="D71" s="450">
        <f>C71-((2.51557+0.80285*C71+0.010328*C71^2)/(1+1.432788*C71+0.189269*C71^2+0.001308*C71^3))</f>
        <v>-1.6861240179411041E-5</v>
      </c>
      <c r="E71" s="450">
        <f t="shared" si="5"/>
        <v>1.6966007297714498</v>
      </c>
      <c r="F71" s="451">
        <f>(10)^E71</f>
        <v>49.727969884204093</v>
      </c>
      <c r="G71" s="450">
        <f t="shared" si="6"/>
        <v>-4.7665822388388041E-2</v>
      </c>
      <c r="H71" s="450">
        <f t="shared" si="7"/>
        <v>1.6913423138320085</v>
      </c>
      <c r="I71" s="451">
        <f>(10)^H71</f>
        <v>49.129496557598394</v>
      </c>
      <c r="J71" s="452">
        <f>-LN(LN(A71/(A71-1)))</f>
        <v>0.36651292058166435</v>
      </c>
      <c r="K71" s="451">
        <f t="shared" ref="K71:K82" si="8">B$62-(0.577*SQRT(6)*B$63/PI())+(SQRT(6)*B$63/PI())*J71</f>
        <v>49.078096158744295</v>
      </c>
      <c r="L71" s="447"/>
    </row>
    <row r="72" spans="1:12" ht="12.75" x14ac:dyDescent="0.2">
      <c r="A72" s="449">
        <v>2.33</v>
      </c>
      <c r="B72" s="450">
        <f>1/A72</f>
        <v>0.42918454935622319</v>
      </c>
      <c r="C72" s="450">
        <f>SQRT(LN(1/B72^2))</f>
        <v>1.3006677266524369</v>
      </c>
      <c r="D72" s="450">
        <f t="shared" ref="D72:D82" si="9">C72-((2.51557+0.80285*C72+0.010328*C72^2)/(1+1.432788*C72+0.189269*C72^2+0.001308*C72^3))</f>
        <v>0.17808428211113303</v>
      </c>
      <c r="E72" s="450">
        <f t="shared" si="5"/>
        <v>1.716255510662019</v>
      </c>
      <c r="F72" s="451">
        <f>(10)^E72</f>
        <v>52.030201841256925</v>
      </c>
      <c r="G72" s="450">
        <f t="shared" si="6"/>
        <v>0.13113749406664318</v>
      </c>
      <c r="H72" s="450">
        <f t="shared" si="7"/>
        <v>1.7110745847276452</v>
      </c>
      <c r="I72" s="451">
        <f>(10)^H72</f>
        <v>51.413193982860918</v>
      </c>
      <c r="J72" s="452">
        <f t="shared" ref="J72:J82" si="10">-LN(LN(A72/(A72-1)))</f>
        <v>0.57858831412193601</v>
      </c>
      <c r="K72" s="451">
        <f t="shared" si="8"/>
        <v>51.28989837008065</v>
      </c>
      <c r="L72" s="447"/>
    </row>
    <row r="73" spans="1:12" ht="12.75" x14ac:dyDescent="0.2">
      <c r="A73" s="449">
        <v>5</v>
      </c>
      <c r="B73" s="450">
        <f>1/A73</f>
        <v>0.2</v>
      </c>
      <c r="C73" s="450">
        <f>SQRT(LN(1/B73^2))</f>
        <v>1.7941225779941015</v>
      </c>
      <c r="D73" s="450">
        <f t="shared" si="9"/>
        <v>0.84144534566621687</v>
      </c>
      <c r="E73" s="450">
        <f t="shared" si="5"/>
        <v>1.7894623195020474</v>
      </c>
      <c r="F73" s="451">
        <f>(10)^E73</f>
        <v>61.583209563259658</v>
      </c>
      <c r="G73" s="450">
        <f t="shared" si="6"/>
        <v>0.82454312661423146</v>
      </c>
      <c r="H73" s="450">
        <f t="shared" si="7"/>
        <v>1.7875970343849503</v>
      </c>
      <c r="I73" s="451">
        <f>(10)^H73</f>
        <v>61.319278246479961</v>
      </c>
      <c r="J73" s="452">
        <f t="shared" si="10"/>
        <v>1.4999399867595156</v>
      </c>
      <c r="K73" s="451">
        <f t="shared" si="8"/>
        <v>60.8989700918845</v>
      </c>
      <c r="L73" s="447"/>
    </row>
    <row r="74" spans="1:12" ht="12.75" x14ac:dyDescent="0.2">
      <c r="A74" s="449">
        <v>10</v>
      </c>
      <c r="B74" s="450">
        <f>1/A74</f>
        <v>0.1</v>
      </c>
      <c r="C74" s="450">
        <f>SQRT(LN(1/B74^2))</f>
        <v>2.1459660262893472</v>
      </c>
      <c r="D74" s="450">
        <f t="shared" si="9"/>
        <v>1.2817193675751226</v>
      </c>
      <c r="E74" s="450">
        <f t="shared" si="5"/>
        <v>1.8380498202311122</v>
      </c>
      <c r="F74" s="451">
        <f>(10)^E74</f>
        <v>68.873129984521455</v>
      </c>
      <c r="G74" s="450">
        <f t="shared" si="6"/>
        <v>1.3091220935937027</v>
      </c>
      <c r="H74" s="450">
        <f t="shared" si="7"/>
        <v>1.8410739141002743</v>
      </c>
      <c r="I74" s="451">
        <f>(10)^H74</f>
        <v>69.354383262866392</v>
      </c>
      <c r="J74" s="452">
        <f t="shared" si="10"/>
        <v>2.2503673273124449</v>
      </c>
      <c r="K74" s="451">
        <f t="shared" si="8"/>
        <v>68.725417203802962</v>
      </c>
      <c r="L74" s="447"/>
    </row>
    <row r="75" spans="1:12" ht="12.75" x14ac:dyDescent="0.2">
      <c r="A75" s="449">
        <v>20</v>
      </c>
      <c r="B75" s="450">
        <f t="shared" ref="B75:B81" si="11">1/A75</f>
        <v>0.05</v>
      </c>
      <c r="C75" s="450">
        <f t="shared" ref="C75:C82" si="12">SQRT(LN(1/B75^2))</f>
        <v>2.4477468306808166</v>
      </c>
      <c r="D75" s="450">
        <f t="shared" si="9"/>
        <v>1.6452033739823797</v>
      </c>
      <c r="E75" s="450">
        <f t="shared" si="5"/>
        <v>1.8781629737388839</v>
      </c>
      <c r="F75" s="451">
        <f t="shared" ref="F75:F82" si="13">(10)^E75</f>
        <v>75.537563742863313</v>
      </c>
      <c r="G75" s="450">
        <f t="shared" si="6"/>
        <v>1.7241683664871115</v>
      </c>
      <c r="H75" s="450">
        <f t="shared" si="7"/>
        <v>1.8868773457889523</v>
      </c>
      <c r="I75" s="451">
        <f t="shared" ref="I75:I82" si="14">(10)^H75</f>
        <v>77.068577989301232</v>
      </c>
      <c r="J75" s="452">
        <f t="shared" si="10"/>
        <v>2.9701952490421655</v>
      </c>
      <c r="K75" s="451">
        <f t="shared" si="8"/>
        <v>76.232733175191768</v>
      </c>
      <c r="L75" s="447"/>
    </row>
    <row r="76" spans="1:12" ht="12.75" x14ac:dyDescent="0.2">
      <c r="A76" s="449">
        <v>50</v>
      </c>
      <c r="B76" s="450">
        <f t="shared" si="11"/>
        <v>0.02</v>
      </c>
      <c r="C76" s="450">
        <f t="shared" si="12"/>
        <v>2.7971496225365371</v>
      </c>
      <c r="D76" s="450">
        <f t="shared" si="9"/>
        <v>2.0541817439773808</v>
      </c>
      <c r="E76" s="450">
        <f t="shared" si="5"/>
        <v>1.9232967673798251</v>
      </c>
      <c r="F76" s="451">
        <f t="shared" si="13"/>
        <v>83.810178839132149</v>
      </c>
      <c r="G76" s="450">
        <f t="shared" si="6"/>
        <v>2.2076662522482633</v>
      </c>
      <c r="H76" s="450">
        <f t="shared" si="7"/>
        <v>1.9402349201810698</v>
      </c>
      <c r="I76" s="451">
        <f>(10)^H76</f>
        <v>87.143484225407931</v>
      </c>
      <c r="J76" s="452">
        <f t="shared" si="10"/>
        <v>3.9019386579358333</v>
      </c>
      <c r="K76" s="451">
        <f t="shared" si="8"/>
        <v>85.950183643096949</v>
      </c>
      <c r="L76" s="453"/>
    </row>
    <row r="77" spans="1:12" ht="12.75" x14ac:dyDescent="0.2">
      <c r="A77" s="464">
        <v>100</v>
      </c>
      <c r="B77" s="454">
        <f t="shared" si="11"/>
        <v>0.01</v>
      </c>
      <c r="C77" s="454">
        <f t="shared" si="12"/>
        <v>3.0348542587702929</v>
      </c>
      <c r="D77" s="454">
        <f t="shared" si="9"/>
        <v>2.3267791744716506</v>
      </c>
      <c r="E77" s="454">
        <f t="shared" si="5"/>
        <v>1.9533799137700107</v>
      </c>
      <c r="F77" s="455">
        <f t="shared" si="13"/>
        <v>89.821419413432537</v>
      </c>
      <c r="G77" s="454">
        <f t="shared" si="6"/>
        <v>2.5397912687575248</v>
      </c>
      <c r="H77" s="454">
        <f t="shared" si="7"/>
        <v>1.9768873767848418</v>
      </c>
      <c r="I77" s="455">
        <f>(10)^H77</f>
        <v>94.817254701008039</v>
      </c>
      <c r="J77" s="456">
        <f t="shared" si="10"/>
        <v>4.6001492267765736</v>
      </c>
      <c r="K77" s="455">
        <f t="shared" si="8"/>
        <v>93.232045316724395</v>
      </c>
      <c r="L77" s="453"/>
    </row>
    <row r="78" spans="1:12" ht="12.75" x14ac:dyDescent="0.2">
      <c r="A78" s="449">
        <v>200</v>
      </c>
      <c r="B78" s="450">
        <f t="shared" si="11"/>
        <v>5.0000000000000001E-3</v>
      </c>
      <c r="C78" s="450">
        <f t="shared" si="12"/>
        <v>3.2552472614374586</v>
      </c>
      <c r="D78" s="450">
        <f t="shared" si="9"/>
        <v>2.5762304772515181</v>
      </c>
      <c r="E78" s="450">
        <f t="shared" si="5"/>
        <v>1.9809087134551093</v>
      </c>
      <c r="F78" s="451">
        <f t="shared" si="13"/>
        <v>95.699289499504658</v>
      </c>
      <c r="G78" s="450">
        <f t="shared" si="6"/>
        <v>2.850720062898795</v>
      </c>
      <c r="H78" s="450">
        <f t="shared" si="7"/>
        <v>2.0112006731872172</v>
      </c>
      <c r="I78" s="451">
        <f t="shared" si="14"/>
        <v>102.61259557600434</v>
      </c>
      <c r="J78" s="452">
        <f t="shared" si="10"/>
        <v>5.295812142535044</v>
      </c>
      <c r="K78" s="451">
        <f t="shared" si="8"/>
        <v>100.48733670029125</v>
      </c>
      <c r="L78" s="453"/>
    </row>
    <row r="79" spans="1:12" ht="12.75" x14ac:dyDescent="0.2">
      <c r="A79" s="449">
        <v>500</v>
      </c>
      <c r="B79" s="450">
        <f t="shared" si="11"/>
        <v>2E-3</v>
      </c>
      <c r="C79" s="450">
        <f t="shared" si="12"/>
        <v>3.5255093528232742</v>
      </c>
      <c r="D79" s="450">
        <f t="shared" si="9"/>
        <v>2.8785010937925581</v>
      </c>
      <c r="E79" s="450">
        <f t="shared" si="5"/>
        <v>2.0142665158025785</v>
      </c>
      <c r="F79" s="451">
        <f t="shared" si="13"/>
        <v>103.33953804488441</v>
      </c>
      <c r="G79" s="450">
        <f t="shared" si="6"/>
        <v>3.2365630389985265</v>
      </c>
      <c r="H79" s="450">
        <f t="shared" si="7"/>
        <v>2.0537813046795494</v>
      </c>
      <c r="I79" s="451">
        <f t="shared" si="14"/>
        <v>113.18302700682553</v>
      </c>
      <c r="J79" s="452">
        <f t="shared" si="10"/>
        <v>6.213607264087516</v>
      </c>
      <c r="K79" s="451">
        <f t="shared" si="8"/>
        <v>110.05931601159216</v>
      </c>
      <c r="L79" s="453"/>
    </row>
    <row r="80" spans="1:12" ht="12.75" x14ac:dyDescent="0.2">
      <c r="A80" s="449">
        <v>1000</v>
      </c>
      <c r="B80" s="450">
        <f t="shared" si="11"/>
        <v>1E-3</v>
      </c>
      <c r="C80" s="450">
        <f t="shared" si="12"/>
        <v>3.7169221888498383</v>
      </c>
      <c r="D80" s="450">
        <f t="shared" si="9"/>
        <v>3.090517579776618</v>
      </c>
      <c r="E80" s="450">
        <f t="shared" si="5"/>
        <v>2.03766410606389</v>
      </c>
      <c r="F80" s="451">
        <f t="shared" si="13"/>
        <v>109.05965162516378</v>
      </c>
      <c r="G80" s="450">
        <f t="shared" si="6"/>
        <v>3.513198488888039</v>
      </c>
      <c r="H80" s="450">
        <f t="shared" si="7"/>
        <v>2.084310076431549</v>
      </c>
      <c r="I80" s="451">
        <f t="shared" si="14"/>
        <v>121.4255491988377</v>
      </c>
      <c r="J80" s="452">
        <f t="shared" si="10"/>
        <v>6.907255070523628</v>
      </c>
      <c r="K80" s="451">
        <f t="shared" si="8"/>
        <v>117.29359117455522</v>
      </c>
    </row>
    <row r="81" spans="1:11" ht="12.75" x14ac:dyDescent="0.2">
      <c r="A81" s="449">
        <v>5000</v>
      </c>
      <c r="B81" s="450">
        <f t="shared" si="11"/>
        <v>2.0000000000000001E-4</v>
      </c>
      <c r="C81" s="450">
        <f t="shared" si="12"/>
        <v>4.1272734804992597</v>
      </c>
      <c r="D81" s="450">
        <f t="shared" si="9"/>
        <v>3.5402404913194201</v>
      </c>
      <c r="E81" s="450">
        <f>$C$62+D81*$C$63</f>
        <v>2.087294361779918</v>
      </c>
      <c r="F81" s="451">
        <f t="shared" si="13"/>
        <v>122.26280681914945</v>
      </c>
      <c r="G81" s="450">
        <f t="shared" si="6"/>
        <v>4.1165903667637629</v>
      </c>
      <c r="H81" s="450">
        <f t="shared" si="7"/>
        <v>2.1508988412627938</v>
      </c>
      <c r="I81" s="451">
        <f t="shared" si="14"/>
        <v>141.54640423289902</v>
      </c>
      <c r="J81" s="452">
        <f t="shared" si="10"/>
        <v>8.5170931830821246</v>
      </c>
      <c r="K81" s="451">
        <f t="shared" si="8"/>
        <v>134.08310851464344</v>
      </c>
    </row>
    <row r="82" spans="1:11" ht="12.75" x14ac:dyDescent="0.2">
      <c r="A82" s="449">
        <v>10000</v>
      </c>
      <c r="B82" s="450">
        <f>1/A82</f>
        <v>1E-4</v>
      </c>
      <c r="C82" s="450">
        <f t="shared" si="12"/>
        <v>4.2919320525786944</v>
      </c>
      <c r="D82" s="450">
        <f t="shared" si="9"/>
        <v>3.7191205599951926</v>
      </c>
      <c r="E82" s="450">
        <f>$C$62+D82*$C$63</f>
        <v>2.1070351028518441</v>
      </c>
      <c r="F82" s="451">
        <f t="shared" si="13"/>
        <v>127.94847172775778</v>
      </c>
      <c r="G82" s="450">
        <f t="shared" si="6"/>
        <v>4.3629397646583765</v>
      </c>
      <c r="H82" s="450">
        <f t="shared" si="7"/>
        <v>2.1780853227588239</v>
      </c>
      <c r="I82" s="451">
        <f t="shared" si="14"/>
        <v>150.69030876767206</v>
      </c>
      <c r="J82" s="452">
        <f t="shared" si="10"/>
        <v>9.2102903698935528</v>
      </c>
      <c r="K82" s="451">
        <f t="shared" si="8"/>
        <v>141.31268402119795</v>
      </c>
    </row>
    <row r="83" spans="1:11" x14ac:dyDescent="0.2">
      <c r="D83" s="457"/>
      <c r="E83" s="458"/>
      <c r="F83" s="458"/>
      <c r="G83" s="458"/>
    </row>
    <row r="84" spans="1:11" x14ac:dyDescent="0.2">
      <c r="E84" s="458"/>
      <c r="F84" s="458"/>
      <c r="G84" s="458"/>
    </row>
    <row r="85" spans="1:11" x14ac:dyDescent="0.2">
      <c r="D85" s="457"/>
      <c r="E85" s="458"/>
      <c r="F85" s="458"/>
      <c r="G85" s="458"/>
    </row>
    <row r="86" spans="1:11" x14ac:dyDescent="0.2">
      <c r="D86" s="457"/>
      <c r="E86" s="458"/>
      <c r="F86" s="458"/>
      <c r="G86" s="458"/>
    </row>
    <row r="87" spans="1:11" x14ac:dyDescent="0.2">
      <c r="E87" s="458"/>
      <c r="F87" s="458"/>
      <c r="G87" s="458"/>
    </row>
    <row r="88" spans="1:11" x14ac:dyDescent="0.2">
      <c r="E88" s="458"/>
      <c r="F88" s="458"/>
      <c r="G88" s="458"/>
    </row>
  </sheetData>
  <mergeCells count="5">
    <mergeCell ref="A1:L1"/>
    <mergeCell ref="A2:L2"/>
    <mergeCell ref="A8:C8"/>
    <mergeCell ref="A61:C61"/>
    <mergeCell ref="D67:K6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J93"/>
  <sheetViews>
    <sheetView topLeftCell="A7" zoomScaleNormal="100" workbookViewId="0">
      <selection activeCell="F53" sqref="F53"/>
    </sheetView>
  </sheetViews>
  <sheetFormatPr defaultRowHeight="17.25" x14ac:dyDescent="0.35"/>
  <cols>
    <col min="1" max="1" width="5.85546875" style="23" customWidth="1"/>
    <col min="2" max="2" width="9.28515625" style="23" bestFit="1" customWidth="1"/>
    <col min="3" max="3" width="19.7109375" style="23" customWidth="1"/>
    <col min="4" max="4" width="29" style="23" customWidth="1"/>
    <col min="5" max="5" width="21" style="23" customWidth="1"/>
    <col min="6" max="6" width="17.5703125" style="23" customWidth="1"/>
    <col min="7" max="7" width="15.85546875" style="23" bestFit="1" customWidth="1"/>
    <col min="8" max="231" width="9.140625" style="23"/>
    <col min="232" max="232" width="5.85546875" style="23" customWidth="1"/>
    <col min="233" max="233" width="9.28515625" style="23" bestFit="1" customWidth="1"/>
    <col min="234" max="234" width="11.85546875" style="23" bestFit="1" customWidth="1"/>
    <col min="235" max="235" width="4.85546875" style="23" customWidth="1"/>
    <col min="236" max="237" width="9.28515625" style="23" bestFit="1" customWidth="1"/>
    <col min="238" max="238" width="3" style="23" customWidth="1"/>
    <col min="239" max="240" width="11.42578125" style="23" customWidth="1"/>
    <col min="241" max="16384" width="9.140625" style="23"/>
  </cols>
  <sheetData>
    <row r="1" spans="1:10" x14ac:dyDescent="0.35">
      <c r="B1" s="361" t="s">
        <v>44</v>
      </c>
      <c r="C1" s="361"/>
      <c r="D1" s="361"/>
      <c r="E1" s="361"/>
      <c r="F1" s="361"/>
    </row>
    <row r="2" spans="1:10" x14ac:dyDescent="0.35">
      <c r="B2" s="361" t="s">
        <v>63</v>
      </c>
      <c r="C2" s="361"/>
      <c r="D2" s="361"/>
      <c r="E2" s="361"/>
      <c r="F2" s="361"/>
    </row>
    <row r="3" spans="1:10" x14ac:dyDescent="0.35">
      <c r="B3" s="26" t="s">
        <v>11</v>
      </c>
      <c r="C3" s="27" t="s">
        <v>131</v>
      </c>
      <c r="D3" s="28"/>
      <c r="E3" s="28" t="s">
        <v>48</v>
      </c>
      <c r="F3" s="93">
        <v>930069</v>
      </c>
    </row>
    <row r="4" spans="1:10" x14ac:dyDescent="0.35">
      <c r="B4" s="26" t="s">
        <v>12</v>
      </c>
      <c r="C4" s="27" t="s">
        <v>35</v>
      </c>
      <c r="D4" s="28"/>
      <c r="F4" s="28" t="s">
        <v>49</v>
      </c>
      <c r="G4" s="93" t="s">
        <v>272</v>
      </c>
    </row>
    <row r="5" spans="1:10" x14ac:dyDescent="0.35">
      <c r="B5" s="26" t="s">
        <v>13</v>
      </c>
      <c r="C5" s="66">
        <v>43340</v>
      </c>
      <c r="D5" s="28"/>
      <c r="F5" s="28" t="s">
        <v>50</v>
      </c>
      <c r="G5" s="93" t="s">
        <v>86</v>
      </c>
    </row>
    <row r="6" spans="1:10" x14ac:dyDescent="0.35">
      <c r="B6" s="49" t="s">
        <v>57</v>
      </c>
      <c r="C6" s="77" t="s">
        <v>87</v>
      </c>
    </row>
    <row r="7" spans="1:10" x14ac:dyDescent="0.35">
      <c r="B7" s="49"/>
    </row>
    <row r="8" spans="1:10" x14ac:dyDescent="0.35">
      <c r="C8" s="49"/>
      <c r="D8" s="49"/>
      <c r="E8" s="50"/>
      <c r="F8" s="49"/>
    </row>
    <row r="9" spans="1:10" ht="55.5" customHeight="1" x14ac:dyDescent="0.35">
      <c r="A9" s="49"/>
      <c r="B9" s="384" t="s">
        <v>15</v>
      </c>
      <c r="C9" s="99" t="s">
        <v>243</v>
      </c>
      <c r="D9" s="99" t="s">
        <v>244</v>
      </c>
      <c r="E9" s="100" t="s">
        <v>246</v>
      </c>
      <c r="F9" s="100" t="s">
        <v>252</v>
      </c>
      <c r="G9" s="100" t="s">
        <v>273</v>
      </c>
    </row>
    <row r="10" spans="1:10" x14ac:dyDescent="0.35">
      <c r="A10" s="49"/>
      <c r="B10" s="385"/>
      <c r="C10" s="91" t="s">
        <v>88</v>
      </c>
      <c r="D10" s="91" t="s">
        <v>88</v>
      </c>
      <c r="E10" s="91" t="s">
        <v>88</v>
      </c>
      <c r="F10" s="91" t="s">
        <v>88</v>
      </c>
      <c r="G10" s="91" t="s">
        <v>88</v>
      </c>
      <c r="J10" s="101"/>
    </row>
    <row r="11" spans="1:10" x14ac:dyDescent="0.35">
      <c r="A11" s="49"/>
      <c r="B11" s="103">
        <v>1964</v>
      </c>
      <c r="C11" s="91"/>
      <c r="D11" s="91"/>
      <c r="E11" s="91"/>
      <c r="F11" s="91"/>
      <c r="G11" s="88"/>
      <c r="I11"/>
    </row>
    <row r="12" spans="1:10" x14ac:dyDescent="0.35">
      <c r="A12" s="49"/>
      <c r="B12" s="103">
        <v>1965</v>
      </c>
      <c r="C12" s="91"/>
      <c r="D12" s="91"/>
      <c r="E12" s="91"/>
      <c r="F12" s="91"/>
      <c r="G12" s="88"/>
      <c r="I12"/>
    </row>
    <row r="13" spans="1:10" x14ac:dyDescent="0.35">
      <c r="A13" s="49"/>
      <c r="B13" s="103">
        <v>1966</v>
      </c>
      <c r="C13" s="91"/>
      <c r="D13" s="91"/>
      <c r="E13" s="91"/>
      <c r="F13" s="91"/>
      <c r="G13" s="88"/>
      <c r="I13"/>
    </row>
    <row r="14" spans="1:10" x14ac:dyDescent="0.35">
      <c r="A14" s="49"/>
      <c r="B14" s="103">
        <v>1967</v>
      </c>
      <c r="C14" s="91"/>
      <c r="D14" s="91"/>
      <c r="E14" s="91"/>
      <c r="F14" s="91"/>
      <c r="G14" s="88"/>
      <c r="I14"/>
    </row>
    <row r="15" spans="1:10" x14ac:dyDescent="0.35">
      <c r="A15" s="49"/>
      <c r="B15" s="103">
        <v>1968</v>
      </c>
      <c r="C15" s="91"/>
      <c r="D15" s="91"/>
      <c r="E15" s="91"/>
      <c r="F15" s="91"/>
      <c r="G15" s="88"/>
      <c r="I15"/>
    </row>
    <row r="16" spans="1:10" x14ac:dyDescent="0.35">
      <c r="A16" s="49"/>
      <c r="B16" s="103">
        <v>1969</v>
      </c>
      <c r="C16" s="91"/>
      <c r="D16" s="91"/>
      <c r="E16" s="91"/>
      <c r="F16" s="91"/>
      <c r="G16" s="88"/>
      <c r="I16"/>
    </row>
    <row r="17" spans="1:9" x14ac:dyDescent="0.35">
      <c r="A17" s="49"/>
      <c r="B17" s="103">
        <v>1970</v>
      </c>
      <c r="C17" s="91"/>
      <c r="D17" s="91"/>
      <c r="E17" s="91"/>
      <c r="F17" s="91"/>
      <c r="G17" s="88"/>
      <c r="I17"/>
    </row>
    <row r="18" spans="1:9" x14ac:dyDescent="0.35">
      <c r="A18" s="49"/>
      <c r="B18" s="103">
        <v>1971</v>
      </c>
      <c r="C18" s="91"/>
      <c r="D18" s="91"/>
      <c r="E18" s="91"/>
      <c r="F18" s="91"/>
      <c r="G18" s="88"/>
      <c r="I18"/>
    </row>
    <row r="19" spans="1:9" x14ac:dyDescent="0.35">
      <c r="A19" s="49"/>
      <c r="B19" s="103">
        <v>1972</v>
      </c>
      <c r="C19" s="91"/>
      <c r="D19" s="91"/>
      <c r="E19" s="91"/>
      <c r="F19" s="91"/>
      <c r="G19" s="88"/>
      <c r="I19"/>
    </row>
    <row r="20" spans="1:9" x14ac:dyDescent="0.35">
      <c r="A20" s="49"/>
      <c r="B20" s="103">
        <v>1973</v>
      </c>
      <c r="C20" s="91"/>
      <c r="D20" s="91"/>
      <c r="E20" s="91"/>
      <c r="F20" s="91"/>
      <c r="G20" s="88"/>
      <c r="I20"/>
    </row>
    <row r="21" spans="1:9" x14ac:dyDescent="0.35">
      <c r="A21" s="49"/>
      <c r="B21" s="51">
        <v>1974</v>
      </c>
      <c r="C21" s="88">
        <v>210</v>
      </c>
      <c r="D21" s="88">
        <v>65.7</v>
      </c>
      <c r="E21" s="88"/>
      <c r="F21" s="88"/>
      <c r="G21" s="88"/>
      <c r="I21"/>
    </row>
    <row r="22" spans="1:9" x14ac:dyDescent="0.35">
      <c r="A22" s="49"/>
      <c r="B22" s="51">
        <v>1975</v>
      </c>
      <c r="C22" s="88">
        <v>360</v>
      </c>
      <c r="D22" s="88">
        <v>66.599999999999994</v>
      </c>
      <c r="E22" s="88">
        <v>2170</v>
      </c>
      <c r="F22" s="88"/>
      <c r="G22" s="88"/>
      <c r="I22"/>
    </row>
    <row r="23" spans="1:9" x14ac:dyDescent="0.35">
      <c r="A23" s="49"/>
      <c r="B23" s="51">
        <v>1976</v>
      </c>
      <c r="C23" s="88">
        <v>222</v>
      </c>
      <c r="D23" s="88">
        <v>59.6</v>
      </c>
      <c r="E23" s="88">
        <v>2580</v>
      </c>
      <c r="F23" s="88"/>
      <c r="G23" s="88"/>
      <c r="I23"/>
    </row>
    <row r="24" spans="1:9" x14ac:dyDescent="0.35">
      <c r="A24" s="49"/>
      <c r="B24" s="51">
        <v>1977</v>
      </c>
      <c r="C24" s="88">
        <v>154</v>
      </c>
      <c r="D24" s="88"/>
      <c r="E24" s="88">
        <v>2740</v>
      </c>
      <c r="F24" s="88"/>
      <c r="G24" s="88"/>
      <c r="I24"/>
    </row>
    <row r="25" spans="1:9" x14ac:dyDescent="0.35">
      <c r="A25" s="49"/>
      <c r="B25" s="51">
        <v>1978</v>
      </c>
      <c r="C25" s="91"/>
      <c r="D25" s="88"/>
      <c r="E25" s="88">
        <v>2260</v>
      </c>
      <c r="F25" s="88"/>
      <c r="G25" s="88"/>
      <c r="I25"/>
    </row>
    <row r="26" spans="1:9" x14ac:dyDescent="0.35">
      <c r="A26" s="49"/>
      <c r="B26" s="51">
        <v>1979</v>
      </c>
      <c r="C26" s="88">
        <v>532</v>
      </c>
      <c r="D26" s="88">
        <v>88</v>
      </c>
      <c r="E26" s="88">
        <v>3710</v>
      </c>
      <c r="F26" s="88"/>
      <c r="G26" s="88"/>
      <c r="I26"/>
    </row>
    <row r="27" spans="1:9" x14ac:dyDescent="0.35">
      <c r="A27" s="49"/>
      <c r="B27" s="51">
        <v>1980</v>
      </c>
      <c r="C27" s="88"/>
      <c r="D27" s="88"/>
      <c r="E27" s="88">
        <v>3220</v>
      </c>
      <c r="F27" s="88"/>
      <c r="G27" s="88"/>
      <c r="I27"/>
    </row>
    <row r="28" spans="1:9" x14ac:dyDescent="0.35">
      <c r="A28" s="49"/>
      <c r="B28" s="51">
        <v>1981</v>
      </c>
      <c r="C28" s="88">
        <v>215</v>
      </c>
      <c r="D28" s="88"/>
      <c r="E28" s="88">
        <v>3400</v>
      </c>
      <c r="F28" s="88"/>
      <c r="G28" s="88"/>
      <c r="I28"/>
    </row>
    <row r="29" spans="1:9" x14ac:dyDescent="0.35">
      <c r="A29" s="49"/>
      <c r="B29" s="51">
        <v>1982</v>
      </c>
      <c r="C29" s="88">
        <v>489</v>
      </c>
      <c r="D29" s="88"/>
      <c r="E29" s="88">
        <v>3890</v>
      </c>
      <c r="F29" s="88"/>
      <c r="G29" s="88"/>
      <c r="I29"/>
    </row>
    <row r="30" spans="1:9" x14ac:dyDescent="0.35">
      <c r="A30" s="49"/>
      <c r="B30" s="51">
        <v>1983</v>
      </c>
      <c r="C30" s="88">
        <v>694</v>
      </c>
      <c r="D30" s="88"/>
      <c r="E30" s="88">
        <v>4280</v>
      </c>
      <c r="F30" s="88"/>
      <c r="G30" s="88"/>
      <c r="I30"/>
    </row>
    <row r="31" spans="1:9" x14ac:dyDescent="0.35">
      <c r="A31" s="49"/>
      <c r="B31" s="51">
        <v>1984</v>
      </c>
      <c r="C31" s="88">
        <v>131</v>
      </c>
      <c r="D31" s="88">
        <v>34.4</v>
      </c>
      <c r="E31" s="88">
        <v>2410</v>
      </c>
      <c r="F31" s="88"/>
      <c r="G31" s="88"/>
      <c r="I31"/>
    </row>
    <row r="32" spans="1:9" x14ac:dyDescent="0.35">
      <c r="A32" s="49"/>
      <c r="B32" s="51">
        <v>1985</v>
      </c>
      <c r="C32" s="88">
        <v>222</v>
      </c>
      <c r="D32" s="88">
        <v>41.6</v>
      </c>
      <c r="E32" s="88">
        <v>2480</v>
      </c>
      <c r="F32" s="88">
        <v>1420</v>
      </c>
      <c r="G32" s="88"/>
      <c r="I32"/>
    </row>
    <row r="33" spans="1:9" x14ac:dyDescent="0.35">
      <c r="A33" s="49"/>
      <c r="B33" s="51">
        <v>1986</v>
      </c>
      <c r="C33" s="88">
        <v>108</v>
      </c>
      <c r="D33" s="88">
        <v>50</v>
      </c>
      <c r="E33" s="88">
        <v>1700</v>
      </c>
      <c r="F33" s="88">
        <v>1270</v>
      </c>
      <c r="G33" s="88"/>
      <c r="I33"/>
    </row>
    <row r="34" spans="1:9" x14ac:dyDescent="0.35">
      <c r="A34" s="49"/>
      <c r="B34" s="51">
        <v>1987</v>
      </c>
      <c r="C34" s="88">
        <v>459</v>
      </c>
      <c r="D34" s="88">
        <v>38.200000000000003</v>
      </c>
      <c r="E34" s="88">
        <v>3550</v>
      </c>
      <c r="F34" s="88">
        <v>1520</v>
      </c>
      <c r="G34" s="88"/>
      <c r="I34"/>
    </row>
    <row r="35" spans="1:9" x14ac:dyDescent="0.35">
      <c r="A35" s="49"/>
      <c r="B35" s="51">
        <v>1988</v>
      </c>
      <c r="C35" s="88">
        <v>213</v>
      </c>
      <c r="D35" s="88">
        <v>62</v>
      </c>
      <c r="E35" s="88">
        <v>2340</v>
      </c>
      <c r="F35" s="88">
        <v>1370</v>
      </c>
      <c r="G35" s="88"/>
      <c r="I35"/>
    </row>
    <row r="36" spans="1:9" x14ac:dyDescent="0.35">
      <c r="A36" s="49"/>
      <c r="B36" s="51">
        <v>1989</v>
      </c>
      <c r="C36" s="88">
        <v>314</v>
      </c>
      <c r="D36" s="88">
        <v>20</v>
      </c>
      <c r="E36" s="88">
        <v>2020</v>
      </c>
      <c r="F36" s="88">
        <v>1270</v>
      </c>
      <c r="G36" s="88"/>
      <c r="I36"/>
    </row>
    <row r="37" spans="1:9" x14ac:dyDescent="0.35">
      <c r="A37" s="49"/>
      <c r="B37" s="51">
        <v>1990</v>
      </c>
      <c r="C37" s="88"/>
      <c r="D37" s="88">
        <v>31.6</v>
      </c>
      <c r="E37" s="88">
        <v>3280</v>
      </c>
      <c r="F37" s="88">
        <v>1170</v>
      </c>
      <c r="G37" s="88">
        <v>79.3</v>
      </c>
      <c r="I37"/>
    </row>
    <row r="38" spans="1:9" x14ac:dyDescent="0.35">
      <c r="A38" s="49"/>
      <c r="B38" s="51">
        <v>1991</v>
      </c>
      <c r="C38" s="88">
        <v>215</v>
      </c>
      <c r="D38" s="88">
        <v>32.799999999999997</v>
      </c>
      <c r="E38" s="88">
        <v>2390</v>
      </c>
      <c r="F38" s="88">
        <v>1470</v>
      </c>
      <c r="G38" s="88">
        <v>68.7</v>
      </c>
      <c r="I38"/>
    </row>
    <row r="39" spans="1:9" x14ac:dyDescent="0.35">
      <c r="A39" s="49"/>
      <c r="B39" s="51">
        <v>1992</v>
      </c>
      <c r="C39" s="88">
        <v>210</v>
      </c>
      <c r="D39" s="88"/>
      <c r="E39" s="88">
        <v>2100</v>
      </c>
      <c r="F39" s="88">
        <v>1270</v>
      </c>
      <c r="G39" s="88">
        <v>42.5</v>
      </c>
      <c r="I39"/>
    </row>
    <row r="40" spans="1:9" x14ac:dyDescent="0.35">
      <c r="A40" s="49"/>
      <c r="B40" s="51">
        <v>1993</v>
      </c>
      <c r="C40" s="88">
        <v>147</v>
      </c>
      <c r="D40" s="88"/>
      <c r="E40" s="88">
        <v>5720</v>
      </c>
      <c r="F40" s="88">
        <v>1470</v>
      </c>
      <c r="G40" s="88">
        <v>54.5</v>
      </c>
      <c r="I40"/>
    </row>
    <row r="41" spans="1:9" x14ac:dyDescent="0.35">
      <c r="A41" s="49"/>
      <c r="B41" s="51">
        <v>1994</v>
      </c>
      <c r="C41" s="88">
        <v>274</v>
      </c>
      <c r="D41" s="88">
        <v>44.5</v>
      </c>
      <c r="E41" s="88">
        <v>1400</v>
      </c>
      <c r="F41" s="88">
        <v>957</v>
      </c>
      <c r="G41" s="88">
        <v>37.1</v>
      </c>
      <c r="I41"/>
    </row>
    <row r="42" spans="1:9" x14ac:dyDescent="0.35">
      <c r="A42" s="49"/>
      <c r="B42" s="51">
        <v>1995</v>
      </c>
      <c r="C42" s="88">
        <v>129</v>
      </c>
      <c r="D42" s="88">
        <v>45.2</v>
      </c>
      <c r="E42" s="88">
        <v>2420</v>
      </c>
      <c r="F42" s="88">
        <v>1450</v>
      </c>
      <c r="G42" s="88">
        <v>36.1</v>
      </c>
      <c r="I42"/>
    </row>
    <row r="43" spans="1:9" x14ac:dyDescent="0.35">
      <c r="A43" s="49"/>
      <c r="B43" s="51">
        <v>1996</v>
      </c>
      <c r="C43" s="88">
        <v>340</v>
      </c>
      <c r="D43" s="88">
        <v>50</v>
      </c>
      <c r="E43" s="88">
        <v>3700</v>
      </c>
      <c r="F43" s="88">
        <v>1470</v>
      </c>
      <c r="G43" s="88">
        <v>42.5</v>
      </c>
      <c r="I43"/>
    </row>
    <row r="44" spans="1:9" x14ac:dyDescent="0.35">
      <c r="A44" s="49"/>
      <c r="B44" s="51">
        <v>1997</v>
      </c>
      <c r="C44" s="88">
        <v>108</v>
      </c>
      <c r="D44" s="88">
        <v>48.7</v>
      </c>
      <c r="E44" s="88">
        <v>2970</v>
      </c>
      <c r="F44" s="88">
        <v>1320</v>
      </c>
      <c r="G44" s="88"/>
      <c r="I44"/>
    </row>
    <row r="45" spans="1:9" x14ac:dyDescent="0.35">
      <c r="A45" s="49"/>
      <c r="B45" s="51">
        <v>1998</v>
      </c>
      <c r="C45" s="88">
        <v>98</v>
      </c>
      <c r="D45" s="88">
        <v>57.8</v>
      </c>
      <c r="E45" s="88">
        <v>4700</v>
      </c>
      <c r="F45" s="88">
        <v>1460</v>
      </c>
      <c r="G45" s="88">
        <v>57.5</v>
      </c>
      <c r="I45"/>
    </row>
    <row r="46" spans="1:9" x14ac:dyDescent="0.35">
      <c r="A46" s="49"/>
      <c r="B46" s="51">
        <v>1999</v>
      </c>
      <c r="C46" s="88">
        <v>139</v>
      </c>
      <c r="D46" s="88">
        <v>41</v>
      </c>
      <c r="E46" s="88">
        <v>3030</v>
      </c>
      <c r="F46" s="88">
        <v>1840</v>
      </c>
      <c r="G46" s="88">
        <v>64.5</v>
      </c>
      <c r="H46" s="101"/>
      <c r="I46"/>
    </row>
    <row r="47" spans="1:9" x14ac:dyDescent="0.35">
      <c r="A47" s="49"/>
      <c r="B47" s="51">
        <v>2000</v>
      </c>
      <c r="C47" s="88">
        <v>155</v>
      </c>
      <c r="D47" s="88">
        <v>33.200000000000003</v>
      </c>
      <c r="E47" s="88">
        <v>5700</v>
      </c>
      <c r="F47" s="88">
        <v>1800</v>
      </c>
      <c r="G47" s="88"/>
      <c r="I47"/>
    </row>
    <row r="48" spans="1:9" x14ac:dyDescent="0.35">
      <c r="A48" s="49"/>
      <c r="B48" s="51">
        <v>2001</v>
      </c>
      <c r="C48" s="88">
        <v>124</v>
      </c>
      <c r="D48" s="88">
        <v>40.4</v>
      </c>
      <c r="E48" s="88">
        <v>2970</v>
      </c>
      <c r="F48" s="88">
        <v>1130</v>
      </c>
      <c r="G48" s="88">
        <v>40.799999999999997</v>
      </c>
      <c r="H48" s="101"/>
      <c r="I48"/>
    </row>
    <row r="49" spans="1:9" x14ac:dyDescent="0.35">
      <c r="A49" s="49"/>
      <c r="B49" s="51">
        <v>2002</v>
      </c>
      <c r="C49" s="88">
        <v>110</v>
      </c>
      <c r="D49" s="88">
        <v>48.7</v>
      </c>
      <c r="E49" s="88">
        <v>3110</v>
      </c>
      <c r="F49" s="88">
        <v>1620</v>
      </c>
      <c r="G49" s="88">
        <v>55</v>
      </c>
      <c r="I49"/>
    </row>
    <row r="50" spans="1:9" x14ac:dyDescent="0.35">
      <c r="A50" s="49"/>
      <c r="B50" s="51">
        <v>2003</v>
      </c>
      <c r="C50" s="88">
        <v>417</v>
      </c>
      <c r="D50" s="88">
        <v>20.6</v>
      </c>
      <c r="E50" s="88">
        <v>2840</v>
      </c>
      <c r="F50" s="88">
        <v>1350</v>
      </c>
      <c r="G50" s="88">
        <v>46.2</v>
      </c>
      <c r="H50" s="101"/>
      <c r="I50"/>
    </row>
    <row r="51" spans="1:9" x14ac:dyDescent="0.35">
      <c r="A51" s="49"/>
      <c r="B51" s="51">
        <v>2004</v>
      </c>
      <c r="C51" s="88">
        <v>112</v>
      </c>
      <c r="D51" s="88">
        <v>57.1</v>
      </c>
      <c r="E51" s="88">
        <v>2200</v>
      </c>
      <c r="F51" s="88">
        <v>1010</v>
      </c>
      <c r="G51" s="88">
        <v>64</v>
      </c>
      <c r="H51" s="101"/>
      <c r="I51"/>
    </row>
    <row r="52" spans="1:9" x14ac:dyDescent="0.35">
      <c r="A52" s="49"/>
      <c r="B52" s="51">
        <v>2005</v>
      </c>
      <c r="C52" s="88">
        <v>98</v>
      </c>
      <c r="D52" s="88">
        <v>26.6</v>
      </c>
      <c r="E52" s="88">
        <v>2530</v>
      </c>
      <c r="F52" s="88">
        <v>1620</v>
      </c>
      <c r="G52" s="88">
        <v>45.2</v>
      </c>
      <c r="H52" s="101"/>
      <c r="I52"/>
    </row>
    <row r="53" spans="1:9" x14ac:dyDescent="0.35">
      <c r="A53" s="49"/>
      <c r="B53" s="51">
        <v>2006</v>
      </c>
      <c r="C53" s="88">
        <v>124</v>
      </c>
      <c r="D53" s="88">
        <v>32</v>
      </c>
      <c r="E53" s="88">
        <v>2000</v>
      </c>
      <c r="F53" s="88">
        <v>949</v>
      </c>
      <c r="G53" s="88">
        <v>35.200000000000003</v>
      </c>
      <c r="I53"/>
    </row>
    <row r="54" spans="1:9" x14ac:dyDescent="0.35">
      <c r="B54" s="51">
        <v>2007</v>
      </c>
      <c r="C54" s="88">
        <v>111</v>
      </c>
      <c r="D54" s="88">
        <v>61.3</v>
      </c>
      <c r="E54" s="88" t="s">
        <v>89</v>
      </c>
      <c r="F54" s="88"/>
      <c r="G54" s="88"/>
      <c r="I54"/>
    </row>
    <row r="55" spans="1:9" x14ac:dyDescent="0.35">
      <c r="B55" s="51">
        <v>2008</v>
      </c>
      <c r="C55" s="88">
        <v>133</v>
      </c>
      <c r="D55" s="88">
        <v>48.8</v>
      </c>
      <c r="E55" s="88" t="s">
        <v>89</v>
      </c>
      <c r="F55" s="88"/>
      <c r="G55" s="88"/>
      <c r="I55"/>
    </row>
    <row r="56" spans="1:9" x14ac:dyDescent="0.35">
      <c r="B56" s="51">
        <v>2009</v>
      </c>
      <c r="C56" s="88">
        <v>243</v>
      </c>
      <c r="D56" s="88">
        <v>56.4</v>
      </c>
      <c r="E56" s="88" t="s">
        <v>89</v>
      </c>
      <c r="F56" s="88"/>
      <c r="G56" s="88"/>
      <c r="I56"/>
    </row>
    <row r="57" spans="1:9" x14ac:dyDescent="0.35">
      <c r="B57" s="51">
        <v>2010</v>
      </c>
      <c r="C57" s="88">
        <v>312</v>
      </c>
      <c r="D57" s="88">
        <v>20</v>
      </c>
      <c r="E57" s="88" t="s">
        <v>89</v>
      </c>
      <c r="F57" s="88"/>
      <c r="G57" s="88"/>
      <c r="I57"/>
    </row>
    <row r="58" spans="1:9" x14ac:dyDescent="0.35">
      <c r="B58" s="51">
        <v>2011</v>
      </c>
      <c r="C58" s="88">
        <v>250</v>
      </c>
      <c r="D58" s="88">
        <v>61.4</v>
      </c>
      <c r="E58" s="88" t="s">
        <v>89</v>
      </c>
      <c r="F58" s="88"/>
      <c r="G58" s="88"/>
      <c r="I58"/>
    </row>
    <row r="59" spans="1:9" x14ac:dyDescent="0.35">
      <c r="B59" s="51">
        <v>2012</v>
      </c>
      <c r="C59" s="88">
        <v>272</v>
      </c>
      <c r="D59" s="88">
        <v>59</v>
      </c>
      <c r="E59" s="88" t="s">
        <v>89</v>
      </c>
      <c r="F59" s="88"/>
      <c r="G59" s="88"/>
      <c r="I59"/>
    </row>
    <row r="60" spans="1:9" x14ac:dyDescent="0.35">
      <c r="B60" s="51">
        <v>2013</v>
      </c>
      <c r="C60" s="88">
        <v>164</v>
      </c>
      <c r="D60" s="88">
        <v>32</v>
      </c>
      <c r="E60" s="88" t="s">
        <v>89</v>
      </c>
      <c r="F60" s="88"/>
      <c r="G60" s="88"/>
      <c r="I60"/>
    </row>
    <row r="61" spans="1:9" x14ac:dyDescent="0.35">
      <c r="B61" s="51">
        <v>2014</v>
      </c>
      <c r="C61" s="88">
        <v>302</v>
      </c>
      <c r="D61" s="88">
        <v>18.399999999999999</v>
      </c>
      <c r="E61" s="88" t="s">
        <v>89</v>
      </c>
      <c r="F61" s="88"/>
      <c r="G61" s="88"/>
      <c r="I61"/>
    </row>
    <row r="62" spans="1:9" x14ac:dyDescent="0.35">
      <c r="B62" s="51">
        <v>2015</v>
      </c>
      <c r="C62" s="88">
        <v>367</v>
      </c>
      <c r="D62" s="88">
        <v>56</v>
      </c>
      <c r="E62" s="88" t="s">
        <v>89</v>
      </c>
      <c r="F62" s="88"/>
      <c r="G62" s="88"/>
      <c r="I62"/>
    </row>
    <row r="63" spans="1:9" x14ac:dyDescent="0.35">
      <c r="B63" s="51"/>
      <c r="C63" s="79"/>
      <c r="D63" s="94"/>
      <c r="E63" s="79"/>
      <c r="F63" s="79"/>
      <c r="G63" s="88"/>
    </row>
    <row r="64" spans="1:9" x14ac:dyDescent="0.35">
      <c r="B64" s="95"/>
    </row>
    <row r="65" spans="2:2" x14ac:dyDescent="0.35">
      <c r="B65" s="52"/>
    </row>
    <row r="66" spans="2:2" x14ac:dyDescent="0.35">
      <c r="B66" s="52"/>
    </row>
    <row r="67" spans="2:2" x14ac:dyDescent="0.35">
      <c r="B67" s="52"/>
    </row>
    <row r="68" spans="2:2" x14ac:dyDescent="0.35">
      <c r="B68" s="52"/>
    </row>
    <row r="69" spans="2:2" x14ac:dyDescent="0.35">
      <c r="B69" s="52"/>
    </row>
    <row r="70" spans="2:2" x14ac:dyDescent="0.35">
      <c r="B70" s="52"/>
    </row>
    <row r="89" spans="2:6" x14ac:dyDescent="0.35">
      <c r="B89" s="361" t="s">
        <v>44</v>
      </c>
      <c r="C89" s="361"/>
      <c r="D89" s="361"/>
      <c r="E89" s="361"/>
      <c r="F89" s="361"/>
    </row>
    <row r="90" spans="2:6" x14ac:dyDescent="0.35">
      <c r="B90" s="361" t="s">
        <v>10</v>
      </c>
      <c r="C90" s="361"/>
      <c r="D90" s="361"/>
      <c r="E90" s="361"/>
      <c r="F90" s="361"/>
    </row>
    <row r="91" spans="2:6" x14ac:dyDescent="0.35">
      <c r="B91" s="26" t="s">
        <v>11</v>
      </c>
      <c r="C91" s="26" t="s">
        <v>43</v>
      </c>
      <c r="D91" s="28"/>
      <c r="E91" s="28" t="s">
        <v>48</v>
      </c>
      <c r="F91" s="28"/>
    </row>
    <row r="92" spans="2:6" x14ac:dyDescent="0.35">
      <c r="B92" s="26" t="s">
        <v>12</v>
      </c>
      <c r="C92" s="26" t="s">
        <v>56</v>
      </c>
      <c r="D92" s="28"/>
      <c r="E92" s="28" t="s">
        <v>49</v>
      </c>
      <c r="F92" s="28"/>
    </row>
    <row r="93" spans="2:6" x14ac:dyDescent="0.35">
      <c r="B93" s="26" t="s">
        <v>13</v>
      </c>
      <c r="C93" s="25">
        <v>41178</v>
      </c>
      <c r="D93" s="28"/>
      <c r="E93" s="28" t="s">
        <v>50</v>
      </c>
      <c r="F93" s="28"/>
    </row>
  </sheetData>
  <mergeCells count="5">
    <mergeCell ref="B1:F1"/>
    <mergeCell ref="B2:F2"/>
    <mergeCell ref="B9:B10"/>
    <mergeCell ref="B89:F89"/>
    <mergeCell ref="B90:F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theme="6" tint="-0.499984740745262"/>
  </sheetPr>
  <dimension ref="A1:P101"/>
  <sheetViews>
    <sheetView topLeftCell="A46" zoomScaleNormal="100" workbookViewId="0">
      <selection activeCell="A81" sqref="A81"/>
    </sheetView>
  </sheetViews>
  <sheetFormatPr defaultRowHeight="13.5" x14ac:dyDescent="0.3"/>
  <cols>
    <col min="1" max="1" width="10.7109375" style="29" customWidth="1"/>
    <col min="2" max="2" width="13.85546875" style="29" customWidth="1"/>
    <col min="3" max="3" width="10.28515625" style="29" customWidth="1"/>
    <col min="4" max="4" width="6.140625" style="29" bestFit="1" customWidth="1"/>
    <col min="5" max="5" width="35.140625" style="29" bestFit="1" customWidth="1"/>
    <col min="6" max="6" width="9.28515625" style="29" customWidth="1"/>
    <col min="7" max="7" width="6.5703125" style="29" customWidth="1"/>
    <col min="8" max="8" width="7.140625" style="29" customWidth="1"/>
    <col min="9" max="9" width="8.5703125" style="29" bestFit="1" customWidth="1"/>
    <col min="10" max="10" width="7.5703125" style="29" customWidth="1"/>
    <col min="11" max="11" width="9.42578125" style="29" customWidth="1"/>
    <col min="12" max="12" width="8.85546875" style="29" customWidth="1"/>
    <col min="13" max="16384" width="9.140625" style="29"/>
  </cols>
  <sheetData>
    <row r="1" spans="1:16" ht="12.75" customHeight="1" x14ac:dyDescent="0.3">
      <c r="A1" s="61" t="s">
        <v>44</v>
      </c>
      <c r="B1" s="61"/>
      <c r="E1" s="28" t="s">
        <v>132</v>
      </c>
      <c r="F1" s="28"/>
      <c r="M1" s="61"/>
      <c r="N1" s="61"/>
      <c r="O1" s="61"/>
      <c r="P1" s="61"/>
    </row>
    <row r="2" spans="1:16" ht="12.75" customHeight="1" x14ac:dyDescent="0.3">
      <c r="A2" s="61" t="s">
        <v>63</v>
      </c>
      <c r="B2" s="61"/>
      <c r="E2" s="28" t="s">
        <v>133</v>
      </c>
      <c r="F2" s="28"/>
      <c r="M2" s="61"/>
      <c r="N2" s="61"/>
      <c r="O2" s="61"/>
      <c r="P2" s="61"/>
    </row>
    <row r="3" spans="1:16" ht="12.75" customHeight="1" x14ac:dyDescent="0.3">
      <c r="A3" s="26" t="s">
        <v>11</v>
      </c>
      <c r="B3" s="27" t="s">
        <v>131</v>
      </c>
      <c r="C3" s="26"/>
      <c r="D3" s="28"/>
      <c r="E3" s="28" t="s">
        <v>51</v>
      </c>
      <c r="M3" s="61"/>
      <c r="N3" s="61"/>
      <c r="O3" s="61"/>
      <c r="P3" s="61"/>
    </row>
    <row r="4" spans="1:16" ht="12.75" customHeight="1" x14ac:dyDescent="0.3">
      <c r="A4" s="26" t="s">
        <v>12</v>
      </c>
      <c r="B4" s="26" t="s">
        <v>45</v>
      </c>
      <c r="C4" s="26"/>
      <c r="D4" s="28"/>
      <c r="E4" s="28"/>
      <c r="M4" s="61"/>
      <c r="N4" s="61"/>
      <c r="O4" s="61"/>
      <c r="P4" s="61"/>
    </row>
    <row r="5" spans="1:16" ht="12.75" customHeight="1" x14ac:dyDescent="0.3">
      <c r="A5" s="26" t="s">
        <v>13</v>
      </c>
      <c r="B5" s="25">
        <v>43340</v>
      </c>
      <c r="C5" s="31"/>
      <c r="D5" s="28"/>
      <c r="E5" s="28"/>
      <c r="M5" s="61"/>
      <c r="N5" s="61"/>
      <c r="O5" s="61"/>
      <c r="P5" s="61"/>
    </row>
    <row r="6" spans="1:16" ht="12.75" customHeight="1" x14ac:dyDescent="0.3">
      <c r="A6" s="26" t="s">
        <v>42</v>
      </c>
      <c r="B6" s="25"/>
      <c r="C6" s="32" t="s">
        <v>78</v>
      </c>
      <c r="D6" s="28"/>
      <c r="E6" s="28"/>
      <c r="L6" s="30"/>
      <c r="M6" s="61"/>
      <c r="N6" s="61"/>
      <c r="O6" s="61"/>
      <c r="P6" s="61"/>
    </row>
    <row r="7" spans="1:16" ht="12.75" customHeight="1" x14ac:dyDescent="0.35">
      <c r="A7" s="26" t="s">
        <v>46</v>
      </c>
      <c r="B7" s="26"/>
      <c r="C7" s="67">
        <v>439.35</v>
      </c>
      <c r="D7" s="26"/>
      <c r="E7" s="26"/>
      <c r="F7" s="23"/>
      <c r="G7" s="23"/>
      <c r="L7" s="30"/>
      <c r="M7" s="61"/>
      <c r="N7" s="61"/>
      <c r="O7" s="61"/>
      <c r="P7" s="61"/>
    </row>
    <row r="8" spans="1:16" ht="12.75" customHeight="1" x14ac:dyDescent="0.35">
      <c r="A8" s="26" t="s">
        <v>47</v>
      </c>
      <c r="B8" s="26"/>
      <c r="C8" s="24" t="s">
        <v>80</v>
      </c>
      <c r="D8" s="26"/>
      <c r="E8" s="26"/>
      <c r="F8" s="23"/>
      <c r="G8" s="23"/>
      <c r="L8" s="30"/>
      <c r="M8" s="61"/>
      <c r="N8" s="61"/>
      <c r="O8" s="61"/>
      <c r="P8" s="61"/>
    </row>
    <row r="9" spans="1:16" ht="15" x14ac:dyDescent="0.3">
      <c r="A9" s="361" t="s">
        <v>14</v>
      </c>
      <c r="B9" s="361"/>
      <c r="C9" s="361"/>
    </row>
    <row r="10" spans="1:16" ht="15" x14ac:dyDescent="0.3">
      <c r="A10" s="33" t="s">
        <v>15</v>
      </c>
      <c r="B10" s="33" t="s">
        <v>16</v>
      </c>
      <c r="C10" s="33"/>
    </row>
    <row r="11" spans="1:16" ht="15" x14ac:dyDescent="0.3">
      <c r="A11" s="33"/>
      <c r="B11" s="34" t="s">
        <v>17</v>
      </c>
      <c r="C11" s="33" t="s">
        <v>18</v>
      </c>
    </row>
    <row r="12" spans="1:16" ht="15" x14ac:dyDescent="0.3">
      <c r="A12" s="80">
        <v>1974</v>
      </c>
      <c r="B12" s="98"/>
      <c r="C12" s="82" t="str">
        <f t="shared" ref="C12:C53" si="0">IF(B12="","",LOG(B12))</f>
        <v/>
      </c>
    </row>
    <row r="13" spans="1:16" ht="15" x14ac:dyDescent="0.3">
      <c r="A13" s="80">
        <v>1975</v>
      </c>
      <c r="B13" s="98"/>
      <c r="C13" s="82" t="str">
        <f t="shared" si="0"/>
        <v/>
      </c>
    </row>
    <row r="14" spans="1:16" ht="15" x14ac:dyDescent="0.3">
      <c r="A14" s="80">
        <v>1976</v>
      </c>
      <c r="B14" s="98"/>
      <c r="C14" s="82" t="str">
        <f t="shared" si="0"/>
        <v/>
      </c>
    </row>
    <row r="15" spans="1:16" ht="15" x14ac:dyDescent="0.3">
      <c r="A15" s="80">
        <v>1977</v>
      </c>
      <c r="B15" s="98"/>
      <c r="C15" s="82" t="str">
        <f t="shared" si="0"/>
        <v/>
      </c>
    </row>
    <row r="16" spans="1:16" ht="15" x14ac:dyDescent="0.3">
      <c r="A16" s="80">
        <v>1978</v>
      </c>
      <c r="B16" s="98"/>
      <c r="C16" s="82" t="str">
        <f t="shared" si="0"/>
        <v/>
      </c>
    </row>
    <row r="17" spans="1:7" ht="15" x14ac:dyDescent="0.3">
      <c r="A17" s="80">
        <v>1979</v>
      </c>
      <c r="B17" s="98"/>
      <c r="C17" s="82" t="str">
        <f t="shared" si="0"/>
        <v/>
      </c>
    </row>
    <row r="18" spans="1:7" ht="15" x14ac:dyDescent="0.3">
      <c r="A18" s="80">
        <v>1980</v>
      </c>
      <c r="B18" s="98"/>
      <c r="C18" s="82" t="str">
        <f t="shared" si="0"/>
        <v/>
      </c>
    </row>
    <row r="19" spans="1:7" ht="15" x14ac:dyDescent="0.3">
      <c r="A19" s="80">
        <v>1981</v>
      </c>
      <c r="B19" s="98"/>
      <c r="C19" s="82" t="str">
        <f t="shared" si="0"/>
        <v/>
      </c>
    </row>
    <row r="20" spans="1:7" ht="15" x14ac:dyDescent="0.3">
      <c r="A20" s="80">
        <v>1982</v>
      </c>
      <c r="B20" s="98"/>
      <c r="C20" s="82" t="str">
        <f t="shared" si="0"/>
        <v/>
      </c>
    </row>
    <row r="21" spans="1:7" ht="15" x14ac:dyDescent="0.3">
      <c r="A21" s="80">
        <v>1983</v>
      </c>
      <c r="B21" s="98"/>
      <c r="C21" s="82" t="str">
        <f t="shared" si="0"/>
        <v/>
      </c>
    </row>
    <row r="22" spans="1:7" ht="15" x14ac:dyDescent="0.3">
      <c r="A22" s="80">
        <v>1984</v>
      </c>
      <c r="B22" s="98"/>
      <c r="C22" s="82" t="str">
        <f t="shared" si="0"/>
        <v/>
      </c>
    </row>
    <row r="23" spans="1:7" ht="15" x14ac:dyDescent="0.3">
      <c r="A23" s="80">
        <v>1985</v>
      </c>
      <c r="B23" s="98"/>
      <c r="C23" s="82" t="str">
        <f t="shared" si="0"/>
        <v/>
      </c>
    </row>
    <row r="24" spans="1:7" ht="15" x14ac:dyDescent="0.3">
      <c r="A24" s="80">
        <v>1986</v>
      </c>
      <c r="B24" s="34"/>
      <c r="C24" s="82" t="str">
        <f t="shared" si="0"/>
        <v/>
      </c>
    </row>
    <row r="25" spans="1:7" ht="15" x14ac:dyDescent="0.3">
      <c r="A25" s="80">
        <v>1987</v>
      </c>
      <c r="B25" s="34"/>
      <c r="C25" s="82" t="str">
        <f t="shared" si="0"/>
        <v/>
      </c>
    </row>
    <row r="26" spans="1:7" ht="15" x14ac:dyDescent="0.3">
      <c r="A26" s="80">
        <v>1988</v>
      </c>
      <c r="B26" s="97"/>
      <c r="C26" s="82" t="str">
        <f t="shared" si="0"/>
        <v/>
      </c>
      <c r="F26" s="52"/>
      <c r="G26" s="68"/>
    </row>
    <row r="27" spans="1:7" ht="15" x14ac:dyDescent="0.3">
      <c r="A27" s="80">
        <v>1989</v>
      </c>
      <c r="B27" s="97"/>
      <c r="C27" s="82" t="str">
        <f t="shared" si="0"/>
        <v/>
      </c>
      <c r="F27" s="52"/>
      <c r="G27" s="68"/>
    </row>
    <row r="28" spans="1:7" ht="15" x14ac:dyDescent="0.3">
      <c r="A28" s="80">
        <v>1990</v>
      </c>
      <c r="B28" s="97"/>
      <c r="C28" s="82" t="str">
        <f t="shared" si="0"/>
        <v/>
      </c>
      <c r="F28" s="52"/>
      <c r="G28" s="68"/>
    </row>
    <row r="29" spans="1:7" ht="15" x14ac:dyDescent="0.3">
      <c r="A29" s="80">
        <v>1991</v>
      </c>
      <c r="B29" s="97"/>
      <c r="C29" s="82" t="str">
        <f t="shared" si="0"/>
        <v/>
      </c>
      <c r="F29" s="52"/>
      <c r="G29" s="68"/>
    </row>
    <row r="30" spans="1:7" ht="15" x14ac:dyDescent="0.3">
      <c r="A30" s="80">
        <v>1992</v>
      </c>
      <c r="B30" s="97"/>
      <c r="C30" s="82" t="str">
        <f t="shared" si="0"/>
        <v/>
      </c>
      <c r="F30" s="52"/>
      <c r="G30" s="68"/>
    </row>
    <row r="31" spans="1:7" ht="15" x14ac:dyDescent="0.3">
      <c r="A31" s="80">
        <v>1993</v>
      </c>
      <c r="B31" s="97"/>
      <c r="C31" s="82" t="str">
        <f t="shared" si="0"/>
        <v/>
      </c>
      <c r="F31" s="52"/>
      <c r="G31" s="68"/>
    </row>
    <row r="32" spans="1:7" ht="15" x14ac:dyDescent="0.3">
      <c r="A32" s="80">
        <v>1994</v>
      </c>
      <c r="B32" s="97"/>
      <c r="C32" s="82" t="str">
        <f t="shared" si="0"/>
        <v/>
      </c>
      <c r="F32" s="52"/>
      <c r="G32" s="68"/>
    </row>
    <row r="33" spans="1:7" ht="15" x14ac:dyDescent="0.3">
      <c r="A33" s="80">
        <v>1995</v>
      </c>
      <c r="B33" s="97"/>
      <c r="C33" s="82" t="str">
        <f t="shared" si="0"/>
        <v/>
      </c>
      <c r="F33" s="52"/>
      <c r="G33" s="68"/>
    </row>
    <row r="34" spans="1:7" ht="15" x14ac:dyDescent="0.3">
      <c r="A34" s="80">
        <v>1996</v>
      </c>
      <c r="B34" s="97"/>
      <c r="C34" s="82" t="str">
        <f t="shared" si="0"/>
        <v/>
      </c>
      <c r="F34" s="52"/>
      <c r="G34" s="68"/>
    </row>
    <row r="35" spans="1:7" ht="15" x14ac:dyDescent="0.3">
      <c r="A35" s="80">
        <v>1997</v>
      </c>
      <c r="B35" s="97"/>
      <c r="C35" s="82" t="str">
        <f t="shared" si="0"/>
        <v/>
      </c>
      <c r="F35" s="52"/>
      <c r="G35" s="68"/>
    </row>
    <row r="36" spans="1:7" ht="15" x14ac:dyDescent="0.3">
      <c r="A36" s="80">
        <v>1998</v>
      </c>
      <c r="B36" s="97"/>
      <c r="C36" s="82" t="str">
        <f t="shared" si="0"/>
        <v/>
      </c>
      <c r="F36" s="54"/>
      <c r="G36" s="68"/>
    </row>
    <row r="37" spans="1:7" ht="15" x14ac:dyDescent="0.3">
      <c r="A37" s="80">
        <v>1999</v>
      </c>
      <c r="B37" s="97"/>
      <c r="C37" s="82" t="str">
        <f t="shared" si="0"/>
        <v/>
      </c>
      <c r="F37" s="54"/>
      <c r="G37" s="68"/>
    </row>
    <row r="38" spans="1:7" ht="15" x14ac:dyDescent="0.3">
      <c r="A38" s="80">
        <v>2000</v>
      </c>
      <c r="B38" s="97">
        <f>+'Extreme data'!D47</f>
        <v>33.200000000000003</v>
      </c>
      <c r="C38" s="82">
        <f t="shared" si="0"/>
        <v>1.5211380837040362</v>
      </c>
      <c r="F38" s="54"/>
      <c r="G38" s="68"/>
    </row>
    <row r="39" spans="1:7" ht="15" x14ac:dyDescent="0.3">
      <c r="A39" s="80">
        <v>2001</v>
      </c>
      <c r="B39" s="97">
        <f>+'Extreme data'!D48</f>
        <v>40.4</v>
      </c>
      <c r="C39" s="82">
        <f t="shared" si="0"/>
        <v>1.6063813651106049</v>
      </c>
      <c r="F39" s="54"/>
      <c r="G39" s="68"/>
    </row>
    <row r="40" spans="1:7" ht="15" x14ac:dyDescent="0.3">
      <c r="A40" s="80">
        <v>2002</v>
      </c>
      <c r="B40" s="97">
        <f>+'Extreme data'!D49</f>
        <v>48.7</v>
      </c>
      <c r="C40" s="82">
        <f t="shared" si="0"/>
        <v>1.6875289612146342</v>
      </c>
      <c r="F40" s="54"/>
      <c r="G40" s="68"/>
    </row>
    <row r="41" spans="1:7" ht="15" x14ac:dyDescent="0.3">
      <c r="A41" s="80">
        <v>2003</v>
      </c>
      <c r="B41" s="97">
        <f>+'Extreme data'!D50</f>
        <v>20.6</v>
      </c>
      <c r="C41" s="82">
        <f t="shared" si="0"/>
        <v>1.3138672203691535</v>
      </c>
      <c r="F41" s="54"/>
      <c r="G41" s="68"/>
    </row>
    <row r="42" spans="1:7" ht="15" x14ac:dyDescent="0.3">
      <c r="A42" s="80">
        <v>2004</v>
      </c>
      <c r="B42" s="97">
        <f>+'Extreme data'!D51</f>
        <v>57.1</v>
      </c>
      <c r="C42" s="82">
        <f t="shared" si="0"/>
        <v>1.7566361082458481</v>
      </c>
      <c r="F42" s="54"/>
      <c r="G42" s="68"/>
    </row>
    <row r="43" spans="1:7" ht="15" x14ac:dyDescent="0.3">
      <c r="A43" s="80">
        <v>2005</v>
      </c>
      <c r="B43" s="97">
        <f>+'Extreme data'!D52</f>
        <v>26.6</v>
      </c>
      <c r="C43" s="82">
        <f t="shared" si="0"/>
        <v>1.424881636631067</v>
      </c>
      <c r="F43" s="54"/>
      <c r="G43" s="68"/>
    </row>
    <row r="44" spans="1:7" ht="15" x14ac:dyDescent="0.3">
      <c r="A44" s="80">
        <v>2006</v>
      </c>
      <c r="B44" s="97">
        <f>+'Extreme data'!D53</f>
        <v>32</v>
      </c>
      <c r="C44" s="82">
        <f t="shared" si="0"/>
        <v>1.505149978319906</v>
      </c>
      <c r="F44" s="54"/>
      <c r="G44" s="68"/>
    </row>
    <row r="45" spans="1:7" ht="15" x14ac:dyDescent="0.3">
      <c r="A45" s="80">
        <v>2007</v>
      </c>
      <c r="B45" s="97">
        <f>+'Extreme data'!D54</f>
        <v>61.3</v>
      </c>
      <c r="C45" s="82">
        <f t="shared" si="0"/>
        <v>1.7874604745184151</v>
      </c>
      <c r="F45" s="54"/>
      <c r="G45" s="68"/>
    </row>
    <row r="46" spans="1:7" ht="15" x14ac:dyDescent="0.3">
      <c r="A46" s="80">
        <v>2008</v>
      </c>
      <c r="B46" s="97">
        <f>+'Extreme data'!D55</f>
        <v>48.8</v>
      </c>
      <c r="C46" s="82">
        <f t="shared" si="0"/>
        <v>1.6884198220027107</v>
      </c>
      <c r="F46" s="54"/>
      <c r="G46" s="68"/>
    </row>
    <row r="47" spans="1:7" ht="15" x14ac:dyDescent="0.3">
      <c r="A47" s="80">
        <v>2009</v>
      </c>
      <c r="B47" s="97">
        <f>+'Extreme data'!D56</f>
        <v>56.4</v>
      </c>
      <c r="C47" s="82">
        <f t="shared" si="0"/>
        <v>1.7512791039833422</v>
      </c>
      <c r="F47" s="54"/>
      <c r="G47" s="68"/>
    </row>
    <row r="48" spans="1:7" ht="15" x14ac:dyDescent="0.3">
      <c r="A48" s="80">
        <v>2010</v>
      </c>
      <c r="B48" s="97">
        <f>+'Extreme data'!D57</f>
        <v>20</v>
      </c>
      <c r="C48" s="82">
        <f t="shared" si="0"/>
        <v>1.3010299956639813</v>
      </c>
      <c r="F48" s="54"/>
      <c r="G48" s="68"/>
    </row>
    <row r="49" spans="1:12" ht="15" x14ac:dyDescent="0.3">
      <c r="A49" s="80">
        <v>2011</v>
      </c>
      <c r="B49" s="97">
        <f>+'Extreme data'!D58</f>
        <v>61.4</v>
      </c>
      <c r="C49" s="82">
        <f t="shared" si="0"/>
        <v>1.7881683711411678</v>
      </c>
      <c r="F49" s="54"/>
      <c r="G49" s="68"/>
    </row>
    <row r="50" spans="1:12" ht="15" x14ac:dyDescent="0.3">
      <c r="A50" s="80">
        <v>2012</v>
      </c>
      <c r="B50" s="97">
        <f>+'Extreme data'!D59</f>
        <v>59</v>
      </c>
      <c r="C50" s="82">
        <f t="shared" si="0"/>
        <v>1.7708520116421442</v>
      </c>
      <c r="F50" s="54"/>
      <c r="G50" s="68"/>
    </row>
    <row r="51" spans="1:12" ht="15" x14ac:dyDescent="0.3">
      <c r="A51" s="80">
        <v>2013</v>
      </c>
      <c r="B51" s="97">
        <f>+'Extreme data'!D60</f>
        <v>32</v>
      </c>
      <c r="C51" s="82">
        <f t="shared" si="0"/>
        <v>1.505149978319906</v>
      </c>
      <c r="F51" s="54"/>
      <c r="G51" s="68"/>
    </row>
    <row r="52" spans="1:12" ht="15" x14ac:dyDescent="0.3">
      <c r="A52" s="80">
        <v>2014</v>
      </c>
      <c r="B52" s="97">
        <f>+'Extreme data'!D61</f>
        <v>18.399999999999999</v>
      </c>
      <c r="C52" s="82">
        <f t="shared" si="0"/>
        <v>1.2648178230095364</v>
      </c>
      <c r="F52" s="54"/>
      <c r="G52" s="68"/>
    </row>
    <row r="53" spans="1:12" ht="15" x14ac:dyDescent="0.3">
      <c r="A53" s="80">
        <v>2015</v>
      </c>
      <c r="B53" s="97">
        <f>+'Extreme data'!D62</f>
        <v>56</v>
      </c>
      <c r="C53" s="82">
        <f t="shared" si="0"/>
        <v>1.7481880270062005</v>
      </c>
      <c r="F53" s="54"/>
      <c r="G53" s="68"/>
    </row>
    <row r="54" spans="1:12" ht="15" x14ac:dyDescent="0.3">
      <c r="A54" s="96"/>
      <c r="B54" s="96"/>
      <c r="C54" s="96"/>
      <c r="F54" s="54"/>
      <c r="G54" s="68"/>
    </row>
    <row r="55" spans="1:12" x14ac:dyDescent="0.3">
      <c r="A55" s="69"/>
      <c r="B55" s="70"/>
      <c r="C55" s="70"/>
      <c r="G55" s="71"/>
    </row>
    <row r="56" spans="1:12" x14ac:dyDescent="0.3">
      <c r="A56" s="69"/>
      <c r="B56" s="70"/>
      <c r="C56" s="70"/>
      <c r="G56" s="71"/>
    </row>
    <row r="57" spans="1:12" x14ac:dyDescent="0.3">
      <c r="A57" s="69"/>
      <c r="B57" s="70"/>
      <c r="C57" s="70"/>
      <c r="G57" s="71"/>
    </row>
    <row r="58" spans="1:12" x14ac:dyDescent="0.3">
      <c r="A58" s="69"/>
      <c r="B58" s="70"/>
      <c r="C58" s="70"/>
      <c r="G58" s="71"/>
    </row>
    <row r="59" spans="1:12" x14ac:dyDescent="0.3">
      <c r="A59" s="69"/>
      <c r="B59" s="70"/>
      <c r="C59" s="70"/>
      <c r="G59" s="71"/>
    </row>
    <row r="60" spans="1:12" x14ac:dyDescent="0.3">
      <c r="A60" s="69"/>
      <c r="B60" s="70"/>
      <c r="C60" s="70"/>
      <c r="G60" s="71"/>
    </row>
    <row r="61" spans="1:12" x14ac:dyDescent="0.3">
      <c r="B61" s="70"/>
      <c r="C61" s="70"/>
    </row>
    <row r="62" spans="1:12" ht="15" x14ac:dyDescent="0.3">
      <c r="A62" s="361" t="s">
        <v>19</v>
      </c>
      <c r="B62" s="361"/>
      <c r="C62" s="361"/>
      <c r="D62" s="28"/>
      <c r="E62" s="28"/>
      <c r="F62" s="28"/>
      <c r="G62" s="35"/>
      <c r="H62" s="28"/>
      <c r="I62" s="28"/>
      <c r="J62" s="28"/>
      <c r="K62" s="28"/>
      <c r="L62" s="28"/>
    </row>
    <row r="63" spans="1:12" ht="16.5" x14ac:dyDescent="0.35">
      <c r="A63" s="36" t="s">
        <v>20</v>
      </c>
      <c r="B63" s="37">
        <f>AVERAGE($B$12:$B$53)</f>
        <v>41.993749999999999</v>
      </c>
      <c r="C63" s="37">
        <f>AVERAGE($C$12:$C$53)</f>
        <v>1.5888093100551661</v>
      </c>
      <c r="D63" s="36" t="s">
        <v>52</v>
      </c>
      <c r="E63" s="28"/>
      <c r="F63" s="28"/>
      <c r="G63" s="38"/>
      <c r="H63" s="28"/>
      <c r="I63" s="39"/>
      <c r="J63" s="39"/>
      <c r="K63" s="28"/>
      <c r="L63" s="28"/>
    </row>
    <row r="64" spans="1:12" ht="15" x14ac:dyDescent="0.3">
      <c r="A64" s="36" t="s">
        <v>21</v>
      </c>
      <c r="B64" s="37">
        <f>STDEV($B$12:$B$53)</f>
        <v>15.867008487214385</v>
      </c>
      <c r="C64" s="37">
        <f>STDEV($C$12:$C$53)</f>
        <v>0.18638961426277575</v>
      </c>
      <c r="D64" s="36" t="s">
        <v>22</v>
      </c>
      <c r="E64" s="28"/>
      <c r="F64" s="28"/>
      <c r="G64" s="28"/>
      <c r="H64" s="28"/>
      <c r="I64" s="39"/>
      <c r="J64" s="39"/>
      <c r="K64" s="28"/>
      <c r="L64" s="28"/>
    </row>
    <row r="65" spans="1:12" ht="16.5" x14ac:dyDescent="0.35">
      <c r="A65" s="36" t="s">
        <v>23</v>
      </c>
      <c r="B65" s="37">
        <f>SKEW($B$12:$B$53)</f>
        <v>-0.20347014201840083</v>
      </c>
      <c r="C65" s="37">
        <f>SKEW($C$12:$C$53)</f>
        <v>-0.56121175151077041</v>
      </c>
      <c r="D65" s="36" t="s">
        <v>53</v>
      </c>
      <c r="E65" s="28"/>
      <c r="F65" s="28"/>
      <c r="G65" s="28"/>
      <c r="H65" s="28"/>
      <c r="I65" s="39"/>
      <c r="J65" s="39"/>
      <c r="K65" s="28"/>
      <c r="L65" s="28"/>
    </row>
    <row r="66" spans="1:12" ht="15" x14ac:dyDescent="0.3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 spans="1:12" ht="13.5" customHeight="1" x14ac:dyDescent="0.3">
      <c r="A67" s="361" t="s">
        <v>24</v>
      </c>
      <c r="B67" s="361"/>
      <c r="C67" s="361"/>
      <c r="D67" s="361"/>
      <c r="E67" s="361"/>
      <c r="F67" s="361"/>
      <c r="G67" s="361"/>
      <c r="H67" s="361"/>
      <c r="I67" s="361"/>
      <c r="J67" s="361"/>
      <c r="K67" s="361"/>
    </row>
    <row r="68" spans="1:12" ht="13.5" customHeight="1" x14ac:dyDescent="0.3">
      <c r="A68" s="28"/>
      <c r="D68" s="374" t="s">
        <v>79</v>
      </c>
      <c r="E68" s="375"/>
      <c r="F68" s="375"/>
      <c r="G68" s="375"/>
      <c r="H68" s="375"/>
      <c r="I68" s="375"/>
      <c r="J68" s="375"/>
      <c r="K68" s="376"/>
      <c r="L68" s="83"/>
    </row>
    <row r="69" spans="1:12" ht="15" x14ac:dyDescent="0.3">
      <c r="A69" s="364" t="s">
        <v>25</v>
      </c>
      <c r="B69" s="365" t="s">
        <v>26</v>
      </c>
      <c r="C69" s="365"/>
      <c r="D69" s="370" t="s">
        <v>8</v>
      </c>
      <c r="E69" s="370"/>
      <c r="F69" s="370"/>
      <c r="G69" s="370" t="s">
        <v>27</v>
      </c>
      <c r="H69" s="370"/>
      <c r="I69" s="370"/>
      <c r="J69" s="370" t="s">
        <v>7</v>
      </c>
      <c r="K69" s="370"/>
      <c r="L69" s="83"/>
    </row>
    <row r="70" spans="1:12" ht="16.5" x14ac:dyDescent="0.35">
      <c r="A70" s="364"/>
      <c r="B70" s="41" t="s">
        <v>28</v>
      </c>
      <c r="C70" s="41" t="s">
        <v>29</v>
      </c>
      <c r="D70" s="41" t="s">
        <v>30</v>
      </c>
      <c r="E70" s="41" t="s">
        <v>54</v>
      </c>
      <c r="F70" s="41" t="s">
        <v>31</v>
      </c>
      <c r="G70" s="41" t="s">
        <v>55</v>
      </c>
      <c r="H70" s="41" t="s">
        <v>54</v>
      </c>
      <c r="I70" s="41" t="s">
        <v>31</v>
      </c>
      <c r="J70" s="41" t="s">
        <v>32</v>
      </c>
      <c r="K70" s="41" t="s">
        <v>33</v>
      </c>
      <c r="L70" s="84"/>
    </row>
    <row r="71" spans="1:12" ht="15" x14ac:dyDescent="0.3">
      <c r="A71" s="62">
        <v>1</v>
      </c>
      <c r="B71" s="42">
        <f>1/A71</f>
        <v>1</v>
      </c>
      <c r="C71" s="42">
        <f>SQRT(LN(1/B71^2))</f>
        <v>0</v>
      </c>
      <c r="D71" s="42">
        <f t="shared" ref="D71:D83" si="1">C71-((2.51557+0.80285*C71+0.010328*C71^2)/(1+1.432788*C71+0.189269*C71^2+0.001308*C71^3))</f>
        <v>-2.5155699999999999</v>
      </c>
      <c r="E71" s="42">
        <f>$C$63+D71*$C$64</f>
        <v>1.1199331881041554</v>
      </c>
      <c r="F71" s="43">
        <f>(10)^E71</f>
        <v>13.180539534389816</v>
      </c>
      <c r="G71" s="42">
        <f>D71+(D71^2-1)*($C$65/6)+((D71^3-6*D71)*($C$65/6)^2)/3-(D71^2-1)*($C$65/6)^3+D71*($C$65/6)^4+1/3*($C$65/6)^5</f>
        <v>-3.0121764202410968</v>
      </c>
      <c r="H71" s="42">
        <f>$C$63+G71*$C$64</f>
        <v>1.0273709089949994</v>
      </c>
      <c r="I71" s="43">
        <f>(10)^H71</f>
        <v>10.650522372649394</v>
      </c>
      <c r="J71" s="44"/>
      <c r="K71" s="43"/>
      <c r="L71" s="84"/>
    </row>
    <row r="72" spans="1:12" ht="15" x14ac:dyDescent="0.3">
      <c r="A72" s="41">
        <v>2</v>
      </c>
      <c r="B72" s="42">
        <f>1/A72</f>
        <v>0.5</v>
      </c>
      <c r="C72" s="42">
        <f>SQRT(LN(1/B72^2))</f>
        <v>1.1774100225154747</v>
      </c>
      <c r="D72" s="42">
        <f t="shared" si="1"/>
        <v>-1.6861240179411041E-5</v>
      </c>
      <c r="E72" s="42">
        <f>$C$63+D72*$C$64</f>
        <v>1.588806167295113</v>
      </c>
      <c r="F72" s="43">
        <f>(10)^E72</f>
        <v>38.797716681037848</v>
      </c>
      <c r="G72" s="42">
        <f>D72+(D72^2-1)*($C$65/6)+((D72^3-6*D72)*($C$65/6)^2)/3-(D72^2-1)*($C$65/6)^3+D72*($C$65/6)^4+1/3*($C$65/6)^5</f>
        <v>9.2698011605912539E-2</v>
      </c>
      <c r="H72" s="42">
        <f>$C$63+G72*$C$64</f>
        <v>1.6060872566813185</v>
      </c>
      <c r="I72" s="43">
        <f>(10)^H72</f>
        <v>40.372649990616935</v>
      </c>
      <c r="J72" s="44">
        <f t="shared" ref="J72:J83" si="2">-LN(LN(A72/(A72-1)))</f>
        <v>0.36651292058166435</v>
      </c>
      <c r="K72" s="43">
        <f t="shared" ref="K72:K83" si="3">B$63-(0.577*SQRT(6)*B$64/PI())+(SQRT(6)*B$64/PI())*J72</f>
        <v>39.389718408371159</v>
      </c>
      <c r="L72" s="85"/>
    </row>
    <row r="73" spans="1:12" ht="15" x14ac:dyDescent="0.3">
      <c r="A73" s="41">
        <v>2.33</v>
      </c>
      <c r="B73" s="42">
        <f>1/A73</f>
        <v>0.42918454935622319</v>
      </c>
      <c r="C73" s="42">
        <f>SQRT(LN(1/B73^2))</f>
        <v>1.3006677266524369</v>
      </c>
      <c r="D73" s="42">
        <f t="shared" si="1"/>
        <v>0.17808428211113303</v>
      </c>
      <c r="E73" s="42">
        <f>$C$63+D73*$C$64</f>
        <v>1.6220023707041236</v>
      </c>
      <c r="F73" s="43">
        <f>(10)^E73</f>
        <v>41.879585121268356</v>
      </c>
      <c r="G73" s="42">
        <f>D73+(D73^2-1)*($C$65/6)+((D73^3-6*D73)*($C$65/6)^2)/3-(D73^2-1)*($C$65/6)^3+D73*($C$65/6)^4+1/3*($C$65/6)^5</f>
        <v>0.26477247017142402</v>
      </c>
      <c r="H73" s="42">
        <f>$C$63+G73*$C$64</f>
        <v>1.6381601486378201</v>
      </c>
      <c r="I73" s="43">
        <f>(10)^H73</f>
        <v>43.467048191179366</v>
      </c>
      <c r="J73" s="44">
        <f t="shared" si="2"/>
        <v>0.57858831412193601</v>
      </c>
      <c r="K73" s="43">
        <f t="shared" si="3"/>
        <v>42.013399757896693</v>
      </c>
      <c r="L73" s="85"/>
    </row>
    <row r="74" spans="1:12" ht="15" x14ac:dyDescent="0.3">
      <c r="A74" s="41">
        <v>5</v>
      </c>
      <c r="B74" s="42">
        <f>1/A74</f>
        <v>0.2</v>
      </c>
      <c r="C74" s="42">
        <f>SQRT(LN(1/B74^2))</f>
        <v>1.7941225779941015</v>
      </c>
      <c r="D74" s="42">
        <f t="shared" si="1"/>
        <v>0.84144534566621687</v>
      </c>
      <c r="E74" s="42">
        <f>$C$63+D74*$C$64</f>
        <v>1.7456459834571003</v>
      </c>
      <c r="F74" s="43">
        <f>(10)^E74</f>
        <v>55.673174224534073</v>
      </c>
      <c r="G74" s="42">
        <f t="shared" ref="G74:G82" si="4">D74+(D74^2-1)*($C$65/6)+((D74^3-6*D74)*($C$65/6)^2)/3-(D74^2-1)*($C$65/6)^3+D74*($C$65/6)^4+1/3*($C$65/6)^5</f>
        <v>0.85559198395620095</v>
      </c>
      <c r="H74" s="42">
        <f>$C$63+G74*$C$64</f>
        <v>1.7482827699110854</v>
      </c>
      <c r="I74" s="43">
        <f>(10)^H74</f>
        <v>56.01221793427024</v>
      </c>
      <c r="J74" s="44">
        <f t="shared" si="2"/>
        <v>1.4999399867595156</v>
      </c>
      <c r="K74" s="43">
        <f t="shared" si="3"/>
        <v>53.411861217756417</v>
      </c>
      <c r="L74" s="85"/>
    </row>
    <row r="75" spans="1:12" ht="15" x14ac:dyDescent="0.3">
      <c r="A75" s="41">
        <v>10</v>
      </c>
      <c r="B75" s="42">
        <f>1/A75</f>
        <v>0.1</v>
      </c>
      <c r="C75" s="42">
        <f>SQRT(LN(1/B75^2))</f>
        <v>2.1459660262893472</v>
      </c>
      <c r="D75" s="42">
        <f t="shared" si="1"/>
        <v>1.2817193675751226</v>
      </c>
      <c r="E75" s="42">
        <f>$C$63+D75*$C$64</f>
        <v>1.8277084885706221</v>
      </c>
      <c r="F75" s="43">
        <f>(10)^E75</f>
        <v>67.252508582039468</v>
      </c>
      <c r="G75" s="42">
        <f t="shared" si="4"/>
        <v>1.205929626430758</v>
      </c>
      <c r="H75" s="42">
        <f>$C$63+G75*$C$64</f>
        <v>1.8135820679536483</v>
      </c>
      <c r="I75" s="43">
        <f>(10)^H75</f>
        <v>65.10016179823478</v>
      </c>
      <c r="J75" s="44">
        <f t="shared" si="2"/>
        <v>2.2503673273124449</v>
      </c>
      <c r="K75" s="43">
        <f t="shared" si="3"/>
        <v>62.695739864474042</v>
      </c>
      <c r="L75" s="85"/>
    </row>
    <row r="76" spans="1:12" ht="15" x14ac:dyDescent="0.3">
      <c r="A76" s="41">
        <v>20</v>
      </c>
      <c r="B76" s="42">
        <f t="shared" ref="B76:B83" si="5">1/A76</f>
        <v>0.05</v>
      </c>
      <c r="C76" s="42">
        <f t="shared" ref="C76:C83" si="6">SQRT(LN(1/B76^2))</f>
        <v>2.4477468306808166</v>
      </c>
      <c r="D76" s="42">
        <f t="shared" si="1"/>
        <v>1.6452033739823797</v>
      </c>
      <c r="E76" s="42">
        <f t="shared" ref="E76:E83" si="7">$C$63+D76*$C$64</f>
        <v>1.895458132315559</v>
      </c>
      <c r="F76" s="43">
        <f t="shared" ref="F76:F83" si="8">(10)^E76</f>
        <v>78.606440781594543</v>
      </c>
      <c r="G76" s="42">
        <f t="shared" si="4"/>
        <v>1.4712865281603769</v>
      </c>
      <c r="H76" s="42">
        <f t="shared" ref="H76:H82" si="9">$C$63+G76*$C$64</f>
        <v>1.8630418385089973</v>
      </c>
      <c r="I76" s="43">
        <f t="shared" ref="I76:I82" si="10">(10)^H76</f>
        <v>72.952778718875834</v>
      </c>
      <c r="J76" s="44">
        <f t="shared" si="2"/>
        <v>2.9701952490421655</v>
      </c>
      <c r="K76" s="43">
        <f t="shared" si="3"/>
        <v>71.601059154858206</v>
      </c>
      <c r="L76" s="85"/>
    </row>
    <row r="77" spans="1:12" ht="15" x14ac:dyDescent="0.3">
      <c r="A77" s="41">
        <v>50</v>
      </c>
      <c r="B77" s="42">
        <f t="shared" si="5"/>
        <v>0.02</v>
      </c>
      <c r="C77" s="42">
        <f t="shared" si="6"/>
        <v>2.7971496225365371</v>
      </c>
      <c r="D77" s="42">
        <f t="shared" si="1"/>
        <v>2.0541817439773808</v>
      </c>
      <c r="E77" s="42">
        <f t="shared" si="7"/>
        <v>1.971687452940746</v>
      </c>
      <c r="F77" s="43">
        <f t="shared" si="8"/>
        <v>93.68875179721249</v>
      </c>
      <c r="G77" s="42">
        <f t="shared" si="4"/>
        <v>1.7451539922322752</v>
      </c>
      <c r="H77" s="42">
        <f t="shared" si="9"/>
        <v>1.914087889496483</v>
      </c>
      <c r="I77" s="43">
        <f t="shared" si="10"/>
        <v>82.051757816916975</v>
      </c>
      <c r="J77" s="44">
        <f t="shared" si="2"/>
        <v>3.9019386579358333</v>
      </c>
      <c r="K77" s="43">
        <f t="shared" si="3"/>
        <v>83.128081520107031</v>
      </c>
      <c r="L77" s="85"/>
    </row>
    <row r="78" spans="1:12" ht="15" x14ac:dyDescent="0.3">
      <c r="A78" s="45">
        <v>100</v>
      </c>
      <c r="B78" s="46">
        <f t="shared" si="5"/>
        <v>0.01</v>
      </c>
      <c r="C78" s="46">
        <f t="shared" si="6"/>
        <v>3.0348542587702929</v>
      </c>
      <c r="D78" s="46">
        <f t="shared" si="1"/>
        <v>2.3267791744716506</v>
      </c>
      <c r="E78" s="46">
        <f t="shared" si="7"/>
        <v>2.022496782859597</v>
      </c>
      <c r="F78" s="47">
        <f t="shared" si="8"/>
        <v>105.31658855222544</v>
      </c>
      <c r="G78" s="46">
        <f t="shared" si="4"/>
        <v>1.913734347094272</v>
      </c>
      <c r="H78" s="46">
        <f t="shared" si="9"/>
        <v>1.9455095168114924</v>
      </c>
      <c r="I78" s="47">
        <f>(10)^H78</f>
        <v>88.208313124918703</v>
      </c>
      <c r="J78" s="48">
        <f t="shared" si="2"/>
        <v>4.6001492267765736</v>
      </c>
      <c r="K78" s="47">
        <f t="shared" si="3"/>
        <v>91.765962685520023</v>
      </c>
      <c r="L78" s="85"/>
    </row>
    <row r="79" spans="1:12" ht="15" x14ac:dyDescent="0.3">
      <c r="A79" s="41">
        <v>200</v>
      </c>
      <c r="B79" s="42">
        <f t="shared" si="5"/>
        <v>5.0000000000000001E-3</v>
      </c>
      <c r="C79" s="42">
        <f t="shared" si="6"/>
        <v>3.2552472614374586</v>
      </c>
      <c r="D79" s="42">
        <f t="shared" si="1"/>
        <v>2.5762304772515181</v>
      </c>
      <c r="E79" s="42">
        <f t="shared" si="7"/>
        <v>2.0689919149620835</v>
      </c>
      <c r="F79" s="43">
        <f t="shared" si="8"/>
        <v>117.21735435905538</v>
      </c>
      <c r="G79" s="42">
        <f t="shared" si="4"/>
        <v>2.0585686517845487</v>
      </c>
      <c r="H79" s="42">
        <f t="shared" si="9"/>
        <v>1.9725051269947305</v>
      </c>
      <c r="I79" s="43">
        <f t="shared" si="10"/>
        <v>93.865311772746196</v>
      </c>
      <c r="J79" s="44">
        <f t="shared" si="2"/>
        <v>5.295812142535044</v>
      </c>
      <c r="K79" s="43">
        <f t="shared" si="3"/>
        <v>100.3723256735272</v>
      </c>
      <c r="L79" s="85"/>
    </row>
    <row r="80" spans="1:12" ht="15" x14ac:dyDescent="0.3">
      <c r="A80" s="41">
        <v>500</v>
      </c>
      <c r="B80" s="42">
        <f t="shared" si="5"/>
        <v>2E-3</v>
      </c>
      <c r="C80" s="42">
        <f t="shared" si="6"/>
        <v>3.5255093528232742</v>
      </c>
      <c r="D80" s="42">
        <f t="shared" si="1"/>
        <v>2.8785010937925581</v>
      </c>
      <c r="E80" s="42">
        <f t="shared" si="7"/>
        <v>2.1253320185821392</v>
      </c>
      <c r="F80" s="43">
        <f t="shared" si="8"/>
        <v>133.45413004777024</v>
      </c>
      <c r="G80" s="42">
        <f t="shared" si="4"/>
        <v>2.2223926254296638</v>
      </c>
      <c r="H80" s="42">
        <f t="shared" si="9"/>
        <v>2.0030402142494386</v>
      </c>
      <c r="I80" s="43">
        <f t="shared" si="10"/>
        <v>100.70249117498928</v>
      </c>
      <c r="J80" s="44">
        <f t="shared" si="2"/>
        <v>6.213607264087516</v>
      </c>
      <c r="K80" s="43">
        <f t="shared" si="3"/>
        <v>111.72678741896999</v>
      </c>
      <c r="L80" s="85"/>
    </row>
    <row r="81" spans="1:12" ht="15" x14ac:dyDescent="0.3">
      <c r="A81" s="41">
        <v>1000</v>
      </c>
      <c r="B81" s="42">
        <f t="shared" si="5"/>
        <v>1E-3</v>
      </c>
      <c r="C81" s="42">
        <f t="shared" si="6"/>
        <v>3.7169221888498383</v>
      </c>
      <c r="D81" s="42">
        <f t="shared" si="1"/>
        <v>3.090517579776618</v>
      </c>
      <c r="E81" s="42">
        <f t="shared" si="7"/>
        <v>2.1648496896220575</v>
      </c>
      <c r="F81" s="43">
        <f t="shared" si="8"/>
        <v>146.16711989401301</v>
      </c>
      <c r="G81" s="42">
        <f t="shared" si="4"/>
        <v>2.3299085002736191</v>
      </c>
      <c r="H81" s="42">
        <f t="shared" si="9"/>
        <v>2.0230800566887286</v>
      </c>
      <c r="I81" s="43">
        <f t="shared" si="10"/>
        <v>105.45812771802943</v>
      </c>
      <c r="J81" s="44">
        <f t="shared" si="2"/>
        <v>6.907255070523628</v>
      </c>
      <c r="K81" s="43">
        <f t="shared" si="3"/>
        <v>120.30822057113875</v>
      </c>
      <c r="L81" s="85"/>
    </row>
    <row r="82" spans="1:12" ht="15" x14ac:dyDescent="0.3">
      <c r="A82" s="41">
        <v>5000</v>
      </c>
      <c r="B82" s="42">
        <f t="shared" si="5"/>
        <v>2.0000000000000001E-4</v>
      </c>
      <c r="C82" s="42">
        <f t="shared" si="6"/>
        <v>4.1272734804992597</v>
      </c>
      <c r="D82" s="42">
        <f t="shared" si="1"/>
        <v>3.5402404913194201</v>
      </c>
      <c r="E82" s="42">
        <f t="shared" si="7"/>
        <v>2.2486733696296524</v>
      </c>
      <c r="F82" s="43">
        <f t="shared" si="8"/>
        <v>177.28556248889899</v>
      </c>
      <c r="G82" s="42">
        <f t="shared" si="4"/>
        <v>2.5386283238017224</v>
      </c>
      <c r="H82" s="42">
        <f t="shared" si="9"/>
        <v>2.0619832640851263</v>
      </c>
      <c r="I82" s="43">
        <f t="shared" si="10"/>
        <v>115.34088093549191</v>
      </c>
      <c r="J82" s="44">
        <f t="shared" si="2"/>
        <v>8.5170931830821246</v>
      </c>
      <c r="K82" s="43">
        <f t="shared" si="3"/>
        <v>140.22426156564978</v>
      </c>
      <c r="L82" s="85"/>
    </row>
    <row r="83" spans="1:12" ht="15" x14ac:dyDescent="0.3">
      <c r="A83" s="41">
        <v>10000</v>
      </c>
      <c r="B83" s="42">
        <f t="shared" si="5"/>
        <v>1E-4</v>
      </c>
      <c r="C83" s="42">
        <f t="shared" si="6"/>
        <v>4.2919320525786944</v>
      </c>
      <c r="D83" s="42">
        <f t="shared" si="1"/>
        <v>3.7191205599951926</v>
      </c>
      <c r="E83" s="42">
        <f t="shared" si="7"/>
        <v>2.2820147566294287</v>
      </c>
      <c r="F83" s="43">
        <f t="shared" si="8"/>
        <v>191.432096946998</v>
      </c>
      <c r="G83" s="42">
        <f>D83+(D83^2-1)*($C$65/6)+((D83^3-6*D83)*($C$65/6)^2)/3-(D83^2-1)*($C$65/6)^3+D83*($C$65/6)^4+1/3*($C$65/6)^5</f>
        <v>2.614616341249584</v>
      </c>
      <c r="H83" s="42">
        <f>$C$63+G83*$C$64</f>
        <v>2.0761466413458263</v>
      </c>
      <c r="I83" s="43">
        <f>(10)^H83</f>
        <v>119.16443037817025</v>
      </c>
      <c r="J83" s="44">
        <f t="shared" si="2"/>
        <v>9.2102903698935528</v>
      </c>
      <c r="K83" s="43">
        <f t="shared" si="3"/>
        <v>148.800119897066</v>
      </c>
      <c r="L83" s="85"/>
    </row>
    <row r="84" spans="1:12" x14ac:dyDescent="0.3">
      <c r="L84" s="72"/>
    </row>
    <row r="85" spans="1:12" x14ac:dyDescent="0.3">
      <c r="A85" s="362"/>
      <c r="B85" s="362"/>
      <c r="C85" s="362"/>
      <c r="D85" s="362"/>
      <c r="E85" s="362"/>
      <c r="F85" s="362"/>
      <c r="G85" s="362"/>
      <c r="H85" s="362"/>
      <c r="I85" s="362"/>
      <c r="J85" s="73"/>
      <c r="K85" s="73"/>
      <c r="L85" s="72"/>
    </row>
    <row r="86" spans="1:12" x14ac:dyDescent="0.3">
      <c r="L86" s="72"/>
    </row>
    <row r="87" spans="1:12" x14ac:dyDescent="0.3">
      <c r="L87" s="72"/>
    </row>
    <row r="89" spans="1:12" ht="13.5" hidden="1" customHeight="1" x14ac:dyDescent="0.3">
      <c r="A89" s="362" t="s">
        <v>34</v>
      </c>
      <c r="B89" s="362"/>
      <c r="C89" s="362"/>
      <c r="D89" s="362"/>
      <c r="E89" s="362"/>
      <c r="F89" s="362"/>
      <c r="G89" s="362"/>
      <c r="H89" s="362"/>
      <c r="I89" s="362"/>
      <c r="J89" s="73"/>
      <c r="K89" s="73"/>
    </row>
    <row r="90" spans="1:12" hidden="1" x14ac:dyDescent="0.3">
      <c r="A90" s="73"/>
      <c r="B90" s="73"/>
      <c r="C90" s="73"/>
      <c r="D90" s="73"/>
      <c r="E90" s="362" t="s">
        <v>8</v>
      </c>
      <c r="F90" s="362"/>
      <c r="G90" s="363" t="s">
        <v>27</v>
      </c>
      <c r="H90" s="363"/>
      <c r="I90" s="73"/>
      <c r="J90" s="73"/>
      <c r="K90" s="73"/>
    </row>
    <row r="91" spans="1:12" hidden="1" x14ac:dyDescent="0.3">
      <c r="D91" s="29" t="s">
        <v>22</v>
      </c>
      <c r="E91" s="74"/>
      <c r="F91" s="74"/>
      <c r="G91" s="74"/>
    </row>
    <row r="92" spans="1:12" hidden="1" x14ac:dyDescent="0.3">
      <c r="D92" s="29" t="s">
        <v>74</v>
      </c>
      <c r="E92" s="74" t="e">
        <f>#REF!-#REF!</f>
        <v>#REF!</v>
      </c>
      <c r="F92" s="74"/>
      <c r="G92" s="74" t="e">
        <f>#REF!-#REF!</f>
        <v>#REF!</v>
      </c>
    </row>
    <row r="93" spans="1:12" hidden="1" x14ac:dyDescent="0.3">
      <c r="D93" s="29" t="s">
        <v>75</v>
      </c>
      <c r="E93" s="74">
        <f>D78-D72</f>
        <v>2.3267960357118298</v>
      </c>
      <c r="F93" s="74"/>
      <c r="G93" s="74">
        <f>G78-G72</f>
        <v>1.8210363354883594</v>
      </c>
    </row>
    <row r="94" spans="1:12" hidden="1" x14ac:dyDescent="0.3">
      <c r="D94" s="29" t="s">
        <v>22</v>
      </c>
      <c r="E94" s="74" t="e">
        <f>E92/E93</f>
        <v>#REF!</v>
      </c>
      <c r="F94" s="74"/>
      <c r="G94" s="74" t="e">
        <f>G92/G93</f>
        <v>#REF!</v>
      </c>
    </row>
    <row r="95" spans="1:12" hidden="1" x14ac:dyDescent="0.3">
      <c r="D95" s="29" t="s">
        <v>76</v>
      </c>
      <c r="E95" s="74" t="e">
        <f>#REF!-D72*E94</f>
        <v>#REF!</v>
      </c>
      <c r="F95" s="74"/>
      <c r="G95" s="74" t="e">
        <f>#REF!-G72*G94</f>
        <v>#REF!</v>
      </c>
    </row>
    <row r="96" spans="1:12" hidden="1" x14ac:dyDescent="0.3">
      <c r="E96" s="74" t="e">
        <f>10^E95</f>
        <v>#REF!</v>
      </c>
      <c r="F96" s="74"/>
      <c r="G96" s="74" t="e">
        <f>10^G95</f>
        <v>#REF!</v>
      </c>
    </row>
    <row r="101" spans="7:7" x14ac:dyDescent="0.3">
      <c r="G101" s="75"/>
    </row>
  </sheetData>
  <mergeCells count="13">
    <mergeCell ref="E90:F90"/>
    <mergeCell ref="G90:H90"/>
    <mergeCell ref="A9:C9"/>
    <mergeCell ref="A62:C62"/>
    <mergeCell ref="A69:A70"/>
    <mergeCell ref="B69:C69"/>
    <mergeCell ref="D69:F69"/>
    <mergeCell ref="G69:I69"/>
    <mergeCell ref="J69:K69"/>
    <mergeCell ref="D68:K68"/>
    <mergeCell ref="A67:K67"/>
    <mergeCell ref="A85:I85"/>
    <mergeCell ref="A89:I8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I39"/>
  <sheetViews>
    <sheetView topLeftCell="A22" workbookViewId="0">
      <selection activeCell="E34" sqref="E34"/>
    </sheetView>
  </sheetViews>
  <sheetFormatPr defaultRowHeight="15" x14ac:dyDescent="0.3"/>
  <cols>
    <col min="1" max="1" width="12.28515625" style="49" bestFit="1" customWidth="1"/>
    <col min="2" max="2" width="9.140625" style="49"/>
    <col min="3" max="3" width="12" style="49" customWidth="1"/>
    <col min="4" max="6" width="9.140625" style="49"/>
    <col min="7" max="7" width="12.5703125" style="49" bestFit="1" customWidth="1"/>
    <col min="8" max="8" width="16.28515625" style="49" bestFit="1" customWidth="1"/>
    <col min="9" max="9" width="9" style="49" bestFit="1" customWidth="1"/>
    <col min="10" max="16384" width="9.140625" style="49"/>
  </cols>
  <sheetData>
    <row r="1" spans="1:9" x14ac:dyDescent="0.3">
      <c r="B1" s="76" t="s">
        <v>84</v>
      </c>
    </row>
    <row r="2" spans="1:9" x14ac:dyDescent="0.3">
      <c r="B2" s="386" t="s">
        <v>77</v>
      </c>
      <c r="C2" s="386"/>
    </row>
    <row r="3" spans="1:9" x14ac:dyDescent="0.3">
      <c r="A3" s="53" t="s">
        <v>25</v>
      </c>
      <c r="B3" s="53" t="s">
        <v>82</v>
      </c>
      <c r="C3" s="53" t="s">
        <v>83</v>
      </c>
      <c r="D3" s="53" t="s">
        <v>7</v>
      </c>
    </row>
    <row r="4" spans="1:9" x14ac:dyDescent="0.3">
      <c r="A4" s="53">
        <v>2</v>
      </c>
      <c r="B4" s="86">
        <v>1434.2266831027389</v>
      </c>
      <c r="C4" s="86">
        <v>1366.6299986317892</v>
      </c>
      <c r="D4" s="86">
        <v>1434.9828743732214</v>
      </c>
    </row>
    <row r="5" spans="1:9" x14ac:dyDescent="0.3">
      <c r="A5" s="53">
        <v>2.33</v>
      </c>
      <c r="B5" s="86">
        <v>1522.8740612151203</v>
      </c>
      <c r="C5" s="86">
        <v>1449.6449567064071</v>
      </c>
      <c r="D5" s="86">
        <v>1546.723237941558</v>
      </c>
      <c r="G5" s="76" t="s">
        <v>85</v>
      </c>
    </row>
    <row r="6" spans="1:9" x14ac:dyDescent="0.3">
      <c r="A6" s="53">
        <v>5</v>
      </c>
      <c r="B6" s="86">
        <v>1904.0422696028465</v>
      </c>
      <c r="C6" s="86">
        <v>1857.6041238290452</v>
      </c>
      <c r="D6" s="86">
        <v>2032.1740446390752</v>
      </c>
    </row>
    <row r="7" spans="1:9" ht="17.25" x14ac:dyDescent="0.35">
      <c r="A7" s="53">
        <v>10</v>
      </c>
      <c r="B7" s="86">
        <v>2208.3308061784119</v>
      </c>
      <c r="C7" s="86">
        <v>2247.9578726098175</v>
      </c>
      <c r="D7" s="86">
        <v>2427.5665626733808</v>
      </c>
      <c r="G7" s="87" t="s">
        <v>8</v>
      </c>
      <c r="H7" s="87" t="s">
        <v>9</v>
      </c>
      <c r="I7" s="87" t="s">
        <v>7</v>
      </c>
    </row>
    <row r="8" spans="1:9" x14ac:dyDescent="0.3">
      <c r="A8" s="53">
        <v>20</v>
      </c>
      <c r="B8" s="86">
        <v>2495.868053159973</v>
      </c>
      <c r="C8" s="86">
        <v>2675.8053532241988</v>
      </c>
      <c r="D8" s="86">
        <v>2806.8365587724115</v>
      </c>
      <c r="F8" s="49">
        <v>1</v>
      </c>
      <c r="G8" s="78">
        <v>647.21373923013618</v>
      </c>
      <c r="H8" s="78">
        <v>717.01862318522467</v>
      </c>
      <c r="I8" s="78" t="s">
        <v>73</v>
      </c>
    </row>
    <row r="9" spans="1:9" x14ac:dyDescent="0.3">
      <c r="A9" s="53">
        <v>25</v>
      </c>
      <c r="B9" s="86">
        <v>2586.4486008231947</v>
      </c>
      <c r="C9" s="86">
        <v>2823.4348282313458</v>
      </c>
      <c r="D9" s="86">
        <v>2927.146057374971</v>
      </c>
      <c r="F9" s="49">
        <v>2</v>
      </c>
      <c r="G9" s="78">
        <v>1398.5749190224667</v>
      </c>
      <c r="H9" s="78">
        <v>1371.8563354376593</v>
      </c>
      <c r="I9" s="78">
        <v>1387.3457707309356</v>
      </c>
    </row>
    <row r="10" spans="1:9" x14ac:dyDescent="0.3">
      <c r="A10" s="53">
        <v>50</v>
      </c>
      <c r="B10" s="86">
        <v>2864.3919592062239</v>
      </c>
      <c r="C10" s="86">
        <v>3317.9020847970951</v>
      </c>
      <c r="D10" s="86">
        <v>3297.7626653997195</v>
      </c>
      <c r="F10" s="49">
        <v>5</v>
      </c>
      <c r="G10" s="78">
        <v>1809.7702184647806</v>
      </c>
      <c r="H10" s="78">
        <v>1796.3463311064713</v>
      </c>
      <c r="I10" s="78">
        <v>1803.3897890136582</v>
      </c>
    </row>
    <row r="11" spans="1:9" x14ac:dyDescent="0.3">
      <c r="A11" s="53">
        <v>80</v>
      </c>
      <c r="B11" s="86">
        <v>3051.2389512806303</v>
      </c>
      <c r="C11" s="86">
        <v>3687.8038729365103</v>
      </c>
      <c r="D11" s="86">
        <v>3547.4057852703118</v>
      </c>
      <c r="F11" s="49">
        <v>10</v>
      </c>
      <c r="G11" s="78">
        <v>2071.0569227301489</v>
      </c>
      <c r="H11" s="78">
        <v>2092.1351765042759</v>
      </c>
      <c r="I11" s="78">
        <v>2078.8471303013484</v>
      </c>
    </row>
    <row r="12" spans="1:9" x14ac:dyDescent="0.3">
      <c r="A12" s="89">
        <v>100</v>
      </c>
      <c r="B12" s="90">
        <v>3139.7735745084547</v>
      </c>
      <c r="C12" s="90">
        <v>3874.2882030492242</v>
      </c>
      <c r="D12" s="90">
        <v>3665.6426985668131</v>
      </c>
      <c r="F12" s="49">
        <v>20</v>
      </c>
      <c r="G12" s="78">
        <v>2314.9703990481007</v>
      </c>
      <c r="H12" s="78">
        <v>2387.1835953377304</v>
      </c>
      <c r="I12" s="78">
        <v>2343.0724253954941</v>
      </c>
    </row>
    <row r="13" spans="1:9" x14ac:dyDescent="0.3">
      <c r="A13" s="53">
        <v>200</v>
      </c>
      <c r="B13" s="86">
        <v>3414.9097451241173</v>
      </c>
      <c r="C13" s="86">
        <v>4502.8004833789828</v>
      </c>
      <c r="D13" s="86">
        <v>4032.1803992883238</v>
      </c>
      <c r="F13" s="49">
        <v>50</v>
      </c>
      <c r="G13" s="78">
        <v>2623.9216019556843</v>
      </c>
      <c r="H13" s="78">
        <v>2787.909352435865</v>
      </c>
      <c r="I13" s="78">
        <v>2685.084967192106</v>
      </c>
    </row>
    <row r="14" spans="1:9" x14ac:dyDescent="0.3">
      <c r="A14" s="53">
        <v>300</v>
      </c>
      <c r="B14" s="86">
        <v>3576.3794880022442</v>
      </c>
      <c r="C14" s="86">
        <v>4908.2619424294508</v>
      </c>
      <c r="D14" s="86">
        <v>4246.2564378252537</v>
      </c>
      <c r="F14" s="49">
        <v>100</v>
      </c>
      <c r="G14" s="78">
        <v>2852.4223986698498</v>
      </c>
      <c r="H14" s="78">
        <v>3104.2241714454408</v>
      </c>
      <c r="I14" s="78">
        <v>2941.3752388260336</v>
      </c>
    </row>
    <row r="15" spans="1:9" x14ac:dyDescent="0.3">
      <c r="A15" s="53">
        <v>500</v>
      </c>
      <c r="B15" s="86">
        <v>3780.8084907499056</v>
      </c>
      <c r="C15" s="86">
        <v>5463.2853672689998</v>
      </c>
      <c r="D15" s="86">
        <v>4515.7572954643747</v>
      </c>
      <c r="F15" s="49">
        <v>200</v>
      </c>
      <c r="G15" s="78">
        <v>3078.9153392551361</v>
      </c>
      <c r="H15" s="78">
        <v>3434.9144069989507</v>
      </c>
      <c r="I15" s="78">
        <v>3196.7303503096814</v>
      </c>
    </row>
    <row r="16" spans="1:9" x14ac:dyDescent="0.3">
      <c r="A16" s="53">
        <v>1000</v>
      </c>
      <c r="B16" s="86">
        <v>4060.6069664742054</v>
      </c>
      <c r="C16" s="86">
        <v>6303.971157818738</v>
      </c>
      <c r="D16" s="86">
        <v>4881.2332556201764</v>
      </c>
      <c r="F16" s="49">
        <v>500</v>
      </c>
      <c r="G16" s="78">
        <v>3377.5989680933617</v>
      </c>
      <c r="H16" s="78">
        <v>3897.7558297357687</v>
      </c>
      <c r="I16" s="78">
        <v>3533.62293186645</v>
      </c>
    </row>
    <row r="17" spans="1:9" x14ac:dyDescent="0.3">
      <c r="A17" s="53">
        <v>2000</v>
      </c>
      <c r="B17" s="86">
        <v>4343.849604024329</v>
      </c>
      <c r="C17" s="86">
        <v>7258.5963917580357</v>
      </c>
      <c r="D17" s="86">
        <v>5246.5772459401596</v>
      </c>
      <c r="F17" s="49">
        <v>1000</v>
      </c>
      <c r="G17" s="78">
        <v>3604.2269399134652</v>
      </c>
      <c r="H17" s="78">
        <v>4269.7247105286524</v>
      </c>
      <c r="I17" s="78">
        <v>3788.2383626024161</v>
      </c>
    </row>
    <row r="18" spans="1:9" x14ac:dyDescent="0.3">
      <c r="A18" s="53">
        <v>3000</v>
      </c>
      <c r="B18" s="86">
        <v>4511.3738745129549</v>
      </c>
      <c r="C18" s="86">
        <v>7876.1871951718867</v>
      </c>
      <c r="D18" s="86">
        <v>5460.2566019902106</v>
      </c>
    </row>
    <row r="19" spans="1:9" x14ac:dyDescent="0.3">
      <c r="A19" s="53">
        <v>4000</v>
      </c>
      <c r="B19" s="86">
        <v>4631.1278697670386</v>
      </c>
      <c r="C19" s="86">
        <v>8343.2761715579491</v>
      </c>
      <c r="D19" s="86">
        <v>5611.8553132386287</v>
      </c>
    </row>
    <row r="20" spans="1:9" x14ac:dyDescent="0.3">
      <c r="A20" s="53">
        <v>5000</v>
      </c>
      <c r="B20" s="86">
        <v>4724.5509639179299</v>
      </c>
      <c r="C20" s="86">
        <v>8723.0800125016594</v>
      </c>
      <c r="D20" s="86">
        <v>5729.4405510567994</v>
      </c>
    </row>
    <row r="21" spans="1:9" x14ac:dyDescent="0.3">
      <c r="A21" s="53">
        <v>10000</v>
      </c>
      <c r="B21" s="86">
        <v>5017.8861239941116</v>
      </c>
      <c r="C21" s="86">
        <v>10008.104144206007</v>
      </c>
      <c r="D21" s="86">
        <v>6094.6790843246799</v>
      </c>
    </row>
    <row r="22" spans="1:9" ht="17.25" x14ac:dyDescent="0.35">
      <c r="G22" s="87" t="s">
        <v>8</v>
      </c>
      <c r="H22" s="87" t="s">
        <v>9</v>
      </c>
      <c r="I22" s="87" t="s">
        <v>7</v>
      </c>
    </row>
    <row r="23" spans="1:9" x14ac:dyDescent="0.3">
      <c r="C23" s="76" t="s">
        <v>80</v>
      </c>
      <c r="F23" s="49">
        <v>1</v>
      </c>
      <c r="G23" s="78">
        <v>395.99268333503755</v>
      </c>
      <c r="H23" s="78">
        <v>307.95582154632643</v>
      </c>
      <c r="I23" s="78" t="s">
        <v>73</v>
      </c>
    </row>
    <row r="24" spans="1:9" x14ac:dyDescent="0.3">
      <c r="A24" s="53" t="s">
        <v>25</v>
      </c>
      <c r="B24" s="53" t="s">
        <v>82</v>
      </c>
      <c r="C24" s="53" t="s">
        <v>83</v>
      </c>
      <c r="D24" s="53" t="s">
        <v>7</v>
      </c>
      <c r="F24" s="49">
        <v>2</v>
      </c>
      <c r="G24" s="78">
        <v>641.13794293016474</v>
      </c>
      <c r="H24" s="78">
        <v>671.3505711962099</v>
      </c>
      <c r="I24" s="78">
        <v>632.71285396216194</v>
      </c>
    </row>
    <row r="25" spans="1:9" x14ac:dyDescent="0.3">
      <c r="A25" s="53">
        <v>2</v>
      </c>
      <c r="B25" s="86">
        <v>617.59378998783097</v>
      </c>
      <c r="C25" s="86">
        <v>647.7062827011946</v>
      </c>
      <c r="D25" s="86">
        <v>613.81127495155647</v>
      </c>
      <c r="F25" s="49">
        <v>5</v>
      </c>
      <c r="G25" s="78">
        <v>753.27091541716595</v>
      </c>
      <c r="H25" s="78">
        <v>749.65701972314685</v>
      </c>
      <c r="I25" s="78">
        <v>731.18515135785276</v>
      </c>
    </row>
    <row r="26" spans="1:9" x14ac:dyDescent="0.3">
      <c r="A26" s="53">
        <v>2.33</v>
      </c>
      <c r="B26" s="86">
        <v>641.17192975770649</v>
      </c>
      <c r="C26" s="86">
        <v>668.61415949646812</v>
      </c>
      <c r="D26" s="86">
        <v>638.0515617233001</v>
      </c>
      <c r="F26" s="49">
        <v>10</v>
      </c>
      <c r="G26" s="78">
        <v>819.55253716182199</v>
      </c>
      <c r="H26" s="78">
        <v>777.74897602753185</v>
      </c>
      <c r="I26" s="78">
        <v>796.3823805911187</v>
      </c>
    </row>
    <row r="27" spans="1:9" x14ac:dyDescent="0.3">
      <c r="A27" s="53">
        <v>5</v>
      </c>
      <c r="B27" s="86">
        <v>737.19133811523056</v>
      </c>
      <c r="C27" s="86">
        <v>734.53762462464795</v>
      </c>
      <c r="D27" s="86">
        <v>743.36235893334776</v>
      </c>
      <c r="F27" s="49">
        <v>20</v>
      </c>
      <c r="G27" s="78">
        <v>878.64689060892488</v>
      </c>
      <c r="H27" s="78">
        <v>794.71072065785006</v>
      </c>
      <c r="I27" s="78">
        <v>858.9211281625204</v>
      </c>
    </row>
    <row r="28" spans="1:9" x14ac:dyDescent="0.3">
      <c r="A28" s="53">
        <v>10</v>
      </c>
      <c r="B28" s="86">
        <v>808.73161379376154</v>
      </c>
      <c r="C28" s="86">
        <v>767.41444023490681</v>
      </c>
      <c r="D28" s="86">
        <v>829.13644914106294</v>
      </c>
      <c r="F28" s="49">
        <v>50</v>
      </c>
      <c r="G28" s="78">
        <v>950.2470886449097</v>
      </c>
      <c r="H28" s="78">
        <v>807.8426334256535</v>
      </c>
      <c r="I28" s="78">
        <v>939.87112203063487</v>
      </c>
    </row>
    <row r="29" spans="1:9" x14ac:dyDescent="0.3">
      <c r="A29" s="53">
        <v>20</v>
      </c>
      <c r="B29" s="86">
        <v>872.99745133002671</v>
      </c>
      <c r="C29" s="86">
        <v>788.17139528475457</v>
      </c>
      <c r="D29" s="86">
        <v>911.41301577972513</v>
      </c>
      <c r="F29" s="49">
        <v>100</v>
      </c>
      <c r="G29" s="78">
        <v>1001.1829271431726</v>
      </c>
      <c r="H29" s="78">
        <v>813.60775562621791</v>
      </c>
      <c r="I29" s="78">
        <v>1000.5317510480394</v>
      </c>
    </row>
    <row r="30" spans="1:9" x14ac:dyDescent="0.3">
      <c r="A30" s="53">
        <v>25</v>
      </c>
      <c r="B30" s="86">
        <v>892.65786714184594</v>
      </c>
      <c r="C30" s="86">
        <v>793.19015131075219</v>
      </c>
      <c r="D30" s="86">
        <v>937.51223950121584</v>
      </c>
      <c r="F30" s="49">
        <v>200</v>
      </c>
      <c r="G30" s="78">
        <v>1050.1826474737211</v>
      </c>
      <c r="H30" s="78">
        <v>817.15458848565561</v>
      </c>
      <c r="I30" s="78">
        <v>1060.9710396197597</v>
      </c>
    </row>
    <row r="31" spans="1:9" x14ac:dyDescent="0.3">
      <c r="A31" s="53">
        <v>50</v>
      </c>
      <c r="B31" s="86">
        <v>951.4325433105721</v>
      </c>
      <c r="C31" s="86">
        <v>805.18184446099508</v>
      </c>
      <c r="D31" s="86">
        <v>1017.9115918390719</v>
      </c>
      <c r="F31" s="49">
        <v>500</v>
      </c>
      <c r="G31" s="78">
        <v>1112.7822359935144</v>
      </c>
      <c r="H31" s="78">
        <v>819.68525781658207</v>
      </c>
      <c r="I31" s="78">
        <v>1140.7092043899027</v>
      </c>
    </row>
    <row r="32" spans="1:9" x14ac:dyDescent="0.3">
      <c r="A32" s="53">
        <v>80</v>
      </c>
      <c r="B32" s="86">
        <v>989.74355074272466</v>
      </c>
      <c r="C32" s="86">
        <v>810.96637196913991</v>
      </c>
      <c r="D32" s="86">
        <v>1072.0676785297605</v>
      </c>
      <c r="F32" s="49">
        <v>1000</v>
      </c>
      <c r="G32" s="78">
        <v>1158.9039745349387</v>
      </c>
      <c r="H32" s="78">
        <v>820.58580163523243</v>
      </c>
      <c r="I32" s="78">
        <v>1200.9734199901038</v>
      </c>
    </row>
    <row r="33" spans="1:4" x14ac:dyDescent="0.3">
      <c r="A33" s="89">
        <v>100</v>
      </c>
      <c r="B33" s="90">
        <v>1007.5880844040748</v>
      </c>
      <c r="C33" s="90">
        <v>813.20643920533439</v>
      </c>
      <c r="D33" s="90">
        <v>1097.7172879796187</v>
      </c>
    </row>
    <row r="34" spans="1:4" x14ac:dyDescent="0.3">
      <c r="A34" s="53">
        <v>200</v>
      </c>
      <c r="B34" s="86">
        <v>1061.8749505489766</v>
      </c>
      <c r="C34" s="86">
        <v>818.54371901117372</v>
      </c>
      <c r="D34" s="86">
        <v>1177.231786540483</v>
      </c>
    </row>
    <row r="35" spans="1:4" x14ac:dyDescent="0.3">
      <c r="A35" s="53">
        <v>300</v>
      </c>
      <c r="B35" s="86">
        <v>1092.9693650471365</v>
      </c>
      <c r="C35" s="86">
        <v>820.7633089613164</v>
      </c>
      <c r="D35" s="86">
        <v>1223.6721631365413</v>
      </c>
    </row>
    <row r="36" spans="1:4" x14ac:dyDescent="0.3">
      <c r="A36" s="53">
        <v>500</v>
      </c>
      <c r="B36" s="86">
        <v>1131.5908075947257</v>
      </c>
      <c r="C36" s="86">
        <v>822.84464954311613</v>
      </c>
      <c r="D36" s="86">
        <v>1282.1360687994929</v>
      </c>
    </row>
    <row r="37" spans="1:4" x14ac:dyDescent="0.3">
      <c r="A37" s="53">
        <v>1000</v>
      </c>
      <c r="B37" s="86">
        <v>1183.2040726733189</v>
      </c>
      <c r="C37" s="86">
        <v>824.70399795454125</v>
      </c>
      <c r="D37" s="86">
        <v>1361.4202397064273</v>
      </c>
    </row>
    <row r="38" spans="1:4" x14ac:dyDescent="0.3">
      <c r="A38" s="53">
        <v>5000</v>
      </c>
      <c r="B38" s="86">
        <v>1300.6104496425924</v>
      </c>
      <c r="C38" s="86">
        <v>826.42024160221081</v>
      </c>
      <c r="D38" s="86">
        <v>1545.4252619443814</v>
      </c>
    </row>
    <row r="39" spans="1:4" x14ac:dyDescent="0.3">
      <c r="A39" s="53">
        <v>10000</v>
      </c>
      <c r="B39" s="86">
        <v>1350.4859873053704</v>
      </c>
      <c r="C39" s="86">
        <v>826.57453028069733</v>
      </c>
      <c r="D39" s="86">
        <v>1624.6579268809862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>
      <selection activeCell="M22" sqref="M2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PMF calculation</vt:lpstr>
      <vt:lpstr>Flood Summary</vt:lpstr>
      <vt:lpstr>Regional flood frequency analys</vt:lpstr>
      <vt:lpstr>CAR FFA </vt:lpstr>
      <vt:lpstr>Regional regression analysis</vt:lpstr>
      <vt:lpstr>Station Details</vt:lpstr>
      <vt:lpstr>Sabhaya (602)</vt:lpstr>
      <vt:lpstr>Flood from_Sabaya Khola</vt:lpstr>
      <vt:lpstr>Hinwa (602.5)</vt:lpstr>
      <vt:lpstr>Arun River at Turkeghat (604.5)</vt:lpstr>
      <vt:lpstr>Arun River at Uwa Gaon (600.1)</vt:lpstr>
      <vt:lpstr>Melamchi (627.5)</vt:lpstr>
      <vt:lpstr>Extreme data</vt:lpstr>
      <vt:lpstr>Bhakbesi.(439.35</vt:lpstr>
      <vt:lpstr>FFA_Bimalnagar</vt:lpstr>
      <vt:lpstr>Andhighat (415) </vt:lpstr>
      <vt:lpstr>'CAR FFA '!Print_Area</vt:lpstr>
      <vt:lpstr>'Flood from_Sabaya Khola'!Print_Area</vt:lpstr>
      <vt:lpstr>'Regional flood frequency analys'!Print_Area</vt:lpstr>
      <vt:lpstr>'Regional regression analysis'!Print_Area</vt:lpstr>
      <vt:lpstr>'Sabhaya (602)'!Print_Area</vt:lpstr>
      <vt:lpstr>Return100D</vt:lpstr>
      <vt:lpstr>Return2D</vt:lpstr>
    </vt:vector>
  </TitlesOfParts>
  <Company>BPC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Division</dc:creator>
  <cp:lastModifiedBy>Shradhye Shrestha</cp:lastModifiedBy>
  <cp:lastPrinted>2018-07-10T06:05:26Z</cp:lastPrinted>
  <dcterms:created xsi:type="dcterms:W3CDTF">2007-04-06T08:27:07Z</dcterms:created>
  <dcterms:modified xsi:type="dcterms:W3CDTF">2022-02-22T09:58:45Z</dcterms:modified>
</cp:coreProperties>
</file>