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Isuwa Khola\Revision\Hydrology\Flood Analysis\"/>
    </mc:Choice>
  </mc:AlternateContent>
  <xr:revisionPtr revIDLastSave="0" documentId="13_ncr:1_{0A7873D9-D5C2-4C11-97F3-7DD3CD5929DF}" xr6:coauthVersionLast="36" xr6:coauthVersionMax="36" xr10:uidLastSave="{00000000-0000-0000-0000-000000000000}"/>
  <bookViews>
    <workbookView xWindow="5565" yWindow="45" windowWidth="8640" windowHeight="5415" firstSheet="1" activeTab="2" xr2:uid="{00000000-000D-0000-FFFF-FFFF00000000}"/>
  </bookViews>
  <sheets>
    <sheet name="Hydrological Staitons" sheetId="9" state="hidden" r:id="rId1"/>
    <sheet name="HYDEST" sheetId="4" r:id="rId2"/>
    <sheet name="Modified HYDEST" sheetId="1" r:id="rId3"/>
    <sheet name="station_details" sheetId="10" r:id="rId4"/>
    <sheet name="Modified HYDEST_PH" sheetId="6" state="hidden" r:id="rId5"/>
    <sheet name="COMPARISION" sheetId="2" state="hidden" r:id="rId6"/>
  </sheets>
  <externalReferences>
    <externalReference r:id="rId7"/>
    <externalReference r:id="rId8"/>
  </externalReferences>
  <definedNames>
    <definedName name="_Kt1">#REF!</definedName>
    <definedName name="anscount" hidden="1">5</definedName>
    <definedName name="Area_orifice">#REF!</definedName>
    <definedName name="Area3000" localSheetId="0">[1]Hydest!$F$8</definedName>
    <definedName name="Area3000">HYDEST!$H$9</definedName>
    <definedName name="Area5000" localSheetId="0">[1]Hydest!$B$8</definedName>
    <definedName name="Area5000">HYDEST!$B$9</definedName>
    <definedName name="AverageParticle">#REF!</definedName>
    <definedName name="AX">#REF!</definedName>
    <definedName name="AX_canal">#REF!</definedName>
    <definedName name="AX_headcanal">#REF!</definedName>
    <definedName name="Basin" localSheetId="0">[1]Hydest!$B$7</definedName>
    <definedName name="Basin">HYDEST!$B$8</definedName>
    <definedName name="Basin_area">#REF!</definedName>
    <definedName name="Bcanal">#REF!</definedName>
    <definedName name="Bgt">#REF!</definedName>
    <definedName name="Bheadcanal">#REF!</definedName>
    <definedName name="bt">#REF!</definedName>
    <definedName name="Cgt">#REF!</definedName>
    <definedName name="Corific">#REF!</definedName>
    <definedName name="Cresrlevel">#REF!</definedName>
    <definedName name="CW">#REF!</definedName>
    <definedName name="Cweir">#REF!</definedName>
    <definedName name="DesignDischarge">#REF!</definedName>
    <definedName name="Discharg_1_basin">#REF!</definedName>
    <definedName name="dlimit">#REF!</definedName>
    <definedName name="FLinlet" localSheetId="4">#REF!</definedName>
    <definedName name="FLinlet">#REF!</definedName>
    <definedName name="Freaboard">#REF!</definedName>
    <definedName name="g">#REF!</definedName>
    <definedName name="H">#REF!</definedName>
    <definedName name="H_100" localSheetId="4">#REF!</definedName>
    <definedName name="H_100">#REF!</definedName>
    <definedName name="H_20" localSheetId="4">#REF!</definedName>
    <definedName name="H_20">#REF!</definedName>
    <definedName name="H_L_orifice" localSheetId="4">#REF!</definedName>
    <definedName name="H_L_orifice">#REF!</definedName>
    <definedName name="H100y">#REF!</definedName>
    <definedName name="H10y">#REF!</definedName>
    <definedName name="H20y">#REF!</definedName>
    <definedName name="H2y">#REF!</definedName>
    <definedName name="H5y">#REF!</definedName>
    <definedName name="Hbasin">#REF!</definedName>
    <definedName name="Hcanal">#REF!</definedName>
    <definedName name="HcatCrest">#REF!</definedName>
    <definedName name="Hd">#REF!</definedName>
    <definedName name="Head">#REF!</definedName>
    <definedName name="Height_Orifice">#REF!</definedName>
    <definedName name="HFL">#REF!</definedName>
    <definedName name="Hflood">#REF!</definedName>
    <definedName name="Hmin">#REF!</definedName>
    <definedName name="Hr">#REF!</definedName>
    <definedName name="Htrash">#REF!</definedName>
    <definedName name="hWEIR">#REF!</definedName>
    <definedName name="kt">#REF!</definedName>
    <definedName name="Kv">#REF!</definedName>
    <definedName name="Laceyf">#REF!</definedName>
    <definedName name="Lbasin">#REF!</definedName>
    <definedName name="Lcanal">#REF!</definedName>
    <definedName name="Lcrest">#REF!</definedName>
    <definedName name="Lgt">#REF!</definedName>
    <definedName name="LHeadCanal">#REF!</definedName>
    <definedName name="limcount" hidden="1">1</definedName>
    <definedName name="MWI" localSheetId="0">[1]Hydest!$F$7</definedName>
    <definedName name="MWI">HYDEST!$H$8</definedName>
    <definedName name="n">#REF!</definedName>
    <definedName name="N_basin">#REF!</definedName>
    <definedName name="n_flush">#REF!</definedName>
    <definedName name="ncanal">#REF!</definedName>
    <definedName name="Nhead">#REF!</definedName>
    <definedName name="Nmaning">#REF!</definedName>
    <definedName name="NWL">#REF!</definedName>
    <definedName name="optAheadcanal">#REF!</definedName>
    <definedName name="OptbCanal">#REF!</definedName>
    <definedName name="optBheadcanal">#REF!</definedName>
    <definedName name="optHheadcanal">#REF!</definedName>
    <definedName name="optHLheadcanal">#REF!</definedName>
    <definedName name="optPheadcanal">#REF!</definedName>
    <definedName name="optRheadCanal">#REF!</definedName>
    <definedName name="optSlopeheadcanal">#REF!</definedName>
    <definedName name="Perimeter">#REF!</definedName>
    <definedName name="Pfactor">#REF!</definedName>
    <definedName name="Popt">#REF!</definedName>
    <definedName name="Power">#REF!</definedName>
    <definedName name="_xlnm.Print_Area" localSheetId="5">COMPARISION!$A$1:$G$60</definedName>
    <definedName name="_xlnm.Print_Area" localSheetId="1">HYDEST!$A$1:$I$61</definedName>
    <definedName name="_xlnm.Print_Area" localSheetId="2">'Modified HYDEST'!$A$1:$J$66</definedName>
    <definedName name="_xlnm.Print_Area" localSheetId="4">'Modified HYDEST_PH'!$A$1:$I$68</definedName>
    <definedName name="_xlnm.Print_Titles" localSheetId="1">HYDEST!$1:$6</definedName>
    <definedName name="q">#REF!</definedName>
    <definedName name="Q_100" localSheetId="4">#REF!</definedName>
    <definedName name="Q_100">#REF!</definedName>
    <definedName name="Q_20" localSheetId="4">#REF!</definedName>
    <definedName name="Q_20">#REF!</definedName>
    <definedName name="qd">#REF!</definedName>
    <definedName name="Qflush">#REF!</definedName>
    <definedName name="Qintake" localSheetId="4">#REF!</definedName>
    <definedName name="Qintake">#REF!</definedName>
    <definedName name="Qo">#REF!</definedName>
    <definedName name="Qtotal">#REF!</definedName>
    <definedName name="R_">#REF!</definedName>
    <definedName name="Rcanal">#REF!</definedName>
    <definedName name="Return100D" localSheetId="0">[1]Hydest!$B$17</definedName>
    <definedName name="Return100D">HYDEST!$B$18</definedName>
    <definedName name="Return10D">HYDEST!$B$15</definedName>
    <definedName name="Return20D">HYDEST!$B$16</definedName>
    <definedName name="Return2D" localSheetId="0">[1]Hydest!$B$12</definedName>
    <definedName name="Return2D">HYDEST!$B$13</definedName>
    <definedName name="Return5D">HYDEST!$B$14</definedName>
    <definedName name="ReverBed">#REF!</definedName>
    <definedName name="Rflush">#REF!</definedName>
    <definedName name="Rscour">#REF!</definedName>
    <definedName name="s">#REF!</definedName>
    <definedName name="S_flushCanal">#REF!</definedName>
    <definedName name="SConc">#REF!</definedName>
    <definedName name="Sediment_load">#REF!</definedName>
    <definedName name="sencount" hidden="1">1</definedName>
    <definedName name="Slope">#REF!</definedName>
    <definedName name="SlopeCanal">#REF!</definedName>
    <definedName name="Sopt">#REF!</definedName>
    <definedName name="T">#REF!</definedName>
    <definedName name="TopWHeadCanal">#REF!</definedName>
    <definedName name="Trash_Surface">#REF!</definedName>
    <definedName name="tt">#REF!</definedName>
    <definedName name="Tw">#REF!</definedName>
    <definedName name="V_orrifice">#REF!</definedName>
    <definedName name="Va">#REF!</definedName>
    <definedName name="Vapproach">#REF!</definedName>
    <definedName name="Vc_canal">#REF!</definedName>
    <definedName name="VheadCanal">#REF!</definedName>
    <definedName name="VIntakeCanal">#REF!</definedName>
    <definedName name="Vlimit">#REF!</definedName>
    <definedName name="Volume_sediment">#REF!</definedName>
    <definedName name="Vtrash">#REF!</definedName>
    <definedName name="Wbasin">#REF!</definedName>
    <definedName name="Wcrest">#REF!</definedName>
    <definedName name="Weffec">#REF!</definedName>
    <definedName name="Wfall">#REF!</definedName>
    <definedName name="WLc">#REF!</definedName>
    <definedName name="WLcanal">#REF!</definedName>
    <definedName name="WLgt">#REF!</definedName>
    <definedName name="WLHeadCanal">#REF!</definedName>
    <definedName name="WLriver">#REF!</definedName>
    <definedName name="WLsetling" localSheetId="4">#REF!</definedName>
    <definedName name="WLsetling">#REF!</definedName>
    <definedName name="wrn.5." hidden="1">{"Mahesh Maskey - Personal View",#N/A,FALSE,"HeadLossApril (2)";#N/A,#N/A,FALSE,"Hydraulic Gadient"}</definedName>
    <definedName name="Wspill">#REF!</definedName>
    <definedName name="Z_83476BD4_A128_11D9_9C51_0060672241FE_.wvu.PrintTitles" localSheetId="1" hidden="1">HYDEST!#REF!</definedName>
  </definedNames>
  <calcPr calcId="181029"/>
</workbook>
</file>

<file path=xl/calcChain.xml><?xml version="1.0" encoding="utf-8"?>
<calcChain xmlns="http://schemas.openxmlformats.org/spreadsheetml/2006/main">
  <c r="B8" i="4" l="1"/>
  <c r="G8" i="10"/>
  <c r="F8" i="10"/>
  <c r="E8" i="10"/>
  <c r="F7" i="10"/>
  <c r="E7" i="10"/>
  <c r="F6" i="10"/>
  <c r="E6" i="10"/>
  <c r="G5" i="10"/>
  <c r="F5" i="10"/>
  <c r="E5" i="10"/>
  <c r="H4" i="10"/>
  <c r="B9" i="4" s="1"/>
  <c r="G4" i="10"/>
  <c r="F4" i="10"/>
  <c r="E4" i="10"/>
  <c r="H3" i="10"/>
  <c r="G3" i="10"/>
  <c r="F3" i="10"/>
  <c r="E3" i="10"/>
  <c r="G2" i="10"/>
  <c r="F2" i="10"/>
  <c r="E2" i="10"/>
  <c r="B6" i="1" l="1"/>
  <c r="B5" i="1"/>
  <c r="G16" i="4"/>
  <c r="G15" i="4"/>
  <c r="G14" i="4"/>
  <c r="B29" i="4"/>
  <c r="G7" i="9" l="1"/>
  <c r="F7" i="9"/>
  <c r="E7" i="9"/>
  <c r="F6" i="9"/>
  <c r="E6" i="9"/>
  <c r="F5" i="9"/>
  <c r="E5" i="9"/>
  <c r="G4" i="9"/>
  <c r="F4" i="9"/>
  <c r="E4" i="9"/>
  <c r="H3" i="9"/>
  <c r="G3" i="9"/>
  <c r="F3" i="9"/>
  <c r="E3" i="9"/>
  <c r="G2" i="9"/>
  <c r="F2" i="9"/>
  <c r="E2" i="9" s="1"/>
  <c r="B13" i="4" l="1"/>
  <c r="C13" i="4"/>
  <c r="G13" i="4"/>
  <c r="B33" i="4" l="1"/>
  <c r="B34" i="4"/>
  <c r="C51" i="4"/>
  <c r="B35" i="4"/>
  <c r="D39" i="2" l="1"/>
  <c r="B2" i="1"/>
  <c r="E7" i="1"/>
  <c r="C59" i="6"/>
  <c r="C58" i="6"/>
  <c r="C57" i="6"/>
  <c r="C55" i="6"/>
  <c r="C53" i="6"/>
  <c r="C54" i="6" s="1"/>
  <c r="C52" i="6"/>
  <c r="C51" i="6"/>
  <c r="C50" i="6"/>
  <c r="B41" i="6"/>
  <c r="B40" i="6"/>
  <c r="B39" i="6"/>
  <c r="B38" i="6"/>
  <c r="B37" i="6"/>
  <c r="B36" i="6"/>
  <c r="B35" i="6"/>
  <c r="B34" i="6"/>
  <c r="B33" i="6"/>
  <c r="B32" i="6"/>
  <c r="B31" i="6"/>
  <c r="B30" i="6"/>
  <c r="H24" i="6"/>
  <c r="H23" i="6"/>
  <c r="H22" i="6"/>
  <c r="H21" i="6"/>
  <c r="H20" i="6"/>
  <c r="H19" i="6"/>
  <c r="H18" i="6"/>
  <c r="C18" i="6"/>
  <c r="C20" i="6" s="1"/>
  <c r="H17" i="6"/>
  <c r="H16" i="6"/>
  <c r="H15" i="6"/>
  <c r="H14" i="6"/>
  <c r="H13" i="6"/>
  <c r="C13" i="6"/>
  <c r="B5" i="6"/>
  <c r="B18" i="4"/>
  <c r="E54" i="2"/>
  <c r="B31" i="4"/>
  <c r="D37" i="2" s="1"/>
  <c r="A52" i="2"/>
  <c r="A53" i="2"/>
  <c r="A54" i="2"/>
  <c r="A55" i="2"/>
  <c r="A56" i="2"/>
  <c r="A57" i="2"/>
  <c r="A58" i="2"/>
  <c r="A59" i="2"/>
  <c r="A60" i="2"/>
  <c r="A51" i="2"/>
  <c r="A36" i="2"/>
  <c r="A37" i="2"/>
  <c r="A38" i="2"/>
  <c r="A39" i="2"/>
  <c r="A40" i="2"/>
  <c r="A41" i="2"/>
  <c r="A42" i="2"/>
  <c r="A43" i="2"/>
  <c r="A44" i="2"/>
  <c r="A45" i="2"/>
  <c r="A46" i="2"/>
  <c r="A35" i="2"/>
  <c r="C21" i="2"/>
  <c r="C22" i="2"/>
  <c r="C23" i="2"/>
  <c r="C24" i="2"/>
  <c r="C25" i="2"/>
  <c r="C26" i="2"/>
  <c r="C27" i="2"/>
  <c r="C28" i="2"/>
  <c r="C29" i="2"/>
  <c r="C30" i="2"/>
  <c r="C31" i="2"/>
  <c r="C20" i="2"/>
  <c r="A28" i="2"/>
  <c r="A24" i="2"/>
  <c r="A20" i="2"/>
  <c r="A16" i="2"/>
  <c r="A15" i="2"/>
  <c r="A14" i="2"/>
  <c r="A13" i="2"/>
  <c r="A12" i="2"/>
  <c r="A11" i="2"/>
  <c r="A10" i="2"/>
  <c r="A9" i="2"/>
  <c r="A8" i="2"/>
  <c r="A7" i="2"/>
  <c r="C50" i="4"/>
  <c r="E53" i="2" s="1"/>
  <c r="C53" i="4"/>
  <c r="E56" i="2" s="1"/>
  <c r="C18" i="4"/>
  <c r="C15" i="6"/>
  <c r="B37" i="4"/>
  <c r="D43" i="2" s="1"/>
  <c r="E35" i="2"/>
  <c r="E39" i="2"/>
  <c r="E42" i="2"/>
  <c r="E45" i="2"/>
  <c r="E41" i="2"/>
  <c r="E43" i="2"/>
  <c r="E46" i="2"/>
  <c r="E37" i="2"/>
  <c r="E40" i="2"/>
  <c r="E36" i="2"/>
  <c r="E44" i="2"/>
  <c r="E38" i="2"/>
  <c r="C19" i="6" l="1"/>
  <c r="C21" i="6"/>
  <c r="B43" i="6"/>
  <c r="C17" i="6"/>
  <c r="C23" i="6"/>
  <c r="E47" i="2"/>
  <c r="B33" i="1"/>
  <c r="B28" i="1"/>
  <c r="C35" i="2" s="1"/>
  <c r="E12" i="2"/>
  <c r="B14" i="4"/>
  <c r="C48" i="1"/>
  <c r="C51" i="2" s="1"/>
  <c r="B34" i="1"/>
  <c r="C41" i="2" s="1"/>
  <c r="G17" i="4"/>
  <c r="F24" i="2" s="1"/>
  <c r="G21" i="4"/>
  <c r="F28" i="2" s="1"/>
  <c r="B38" i="4"/>
  <c r="D44" i="2" s="1"/>
  <c r="C57" i="4"/>
  <c r="E60" i="2" s="1"/>
  <c r="G23" i="4"/>
  <c r="F30" i="2" s="1"/>
  <c r="B40" i="4"/>
  <c r="D46" i="2" s="1"/>
  <c r="F22" i="2"/>
  <c r="D41" i="2"/>
  <c r="C55" i="1"/>
  <c r="C58" i="2" s="1"/>
  <c r="C51" i="1"/>
  <c r="C54" i="2" s="1"/>
  <c r="F20" i="2"/>
  <c r="B7" i="1"/>
  <c r="B32" i="1" s="1"/>
  <c r="C39" i="2" s="1"/>
  <c r="C55" i="4"/>
  <c r="C54" i="4" s="1"/>
  <c r="E57" i="2" s="1"/>
  <c r="G19" i="4"/>
  <c r="F26" i="2" s="1"/>
  <c r="C48" i="4"/>
  <c r="E51" i="2" s="1"/>
  <c r="B39" i="4"/>
  <c r="D45" i="2" s="1"/>
  <c r="B29" i="1"/>
  <c r="C36" i="2" s="1"/>
  <c r="C53" i="1"/>
  <c r="C56" i="2" s="1"/>
  <c r="C11" i="1"/>
  <c r="C7" i="2" s="1"/>
  <c r="C15" i="4"/>
  <c r="B36" i="1"/>
  <c r="C43" i="2" s="1"/>
  <c r="B42" i="6"/>
  <c r="C16" i="6"/>
  <c r="C22" i="6"/>
  <c r="B38" i="1"/>
  <c r="C45" i="2" s="1"/>
  <c r="C14" i="6"/>
  <c r="B44" i="6"/>
  <c r="B45" i="6" s="1"/>
  <c r="C56" i="6"/>
  <c r="B15" i="4"/>
  <c r="E9" i="2" s="1"/>
  <c r="C16" i="4"/>
  <c r="B17" i="4"/>
  <c r="E11" i="2" s="1"/>
  <c r="C23" i="4"/>
  <c r="E8" i="2"/>
  <c r="C21" i="4"/>
  <c r="C14" i="4"/>
  <c r="C20" i="4"/>
  <c r="C19" i="4"/>
  <c r="C17" i="4"/>
  <c r="C22" i="4"/>
  <c r="B21" i="4"/>
  <c r="E15" i="2" s="1"/>
  <c r="B20" i="4"/>
  <c r="E14" i="2" s="1"/>
  <c r="E7" i="2"/>
  <c r="B22" i="4"/>
  <c r="E16" i="2" s="1"/>
  <c r="B23" i="4"/>
  <c r="B19" i="4"/>
  <c r="E13" i="2" s="1"/>
  <c r="B16" i="4"/>
  <c r="E10" i="2" s="1"/>
  <c r="C56" i="1"/>
  <c r="C59" i="2" s="1"/>
  <c r="C40" i="2"/>
  <c r="C49" i="1"/>
  <c r="C52" i="2" s="1"/>
  <c r="B35" i="1"/>
  <c r="C42" i="2" s="1"/>
  <c r="C50" i="1"/>
  <c r="C53" i="2" s="1"/>
  <c r="B37" i="1"/>
  <c r="C44" i="2" s="1"/>
  <c r="B39" i="1"/>
  <c r="C46" i="2" s="1"/>
  <c r="B30" i="4"/>
  <c r="D36" i="2" s="1"/>
  <c r="C56" i="4"/>
  <c r="E59" i="2" s="1"/>
  <c r="F21" i="2"/>
  <c r="F23" i="2"/>
  <c r="G18" i="4"/>
  <c r="F25" i="2" s="1"/>
  <c r="G20" i="4"/>
  <c r="F27" i="2" s="1"/>
  <c r="G22" i="4"/>
  <c r="F29" i="2" s="1"/>
  <c r="G24" i="4"/>
  <c r="F31" i="2" s="1"/>
  <c r="C49" i="4"/>
  <c r="E52" i="2" s="1"/>
  <c r="D40" i="2"/>
  <c r="B36" i="4"/>
  <c r="D42" i="2" s="1"/>
  <c r="C16" i="1"/>
  <c r="C12" i="1" s="1"/>
  <c r="C8" i="2" s="1"/>
  <c r="B32" i="4"/>
  <c r="D38" i="2" s="1"/>
  <c r="C52" i="4"/>
  <c r="E55" i="2" s="1"/>
  <c r="H20" i="1" l="1"/>
  <c r="D29" i="2" s="1"/>
  <c r="H13" i="1"/>
  <c r="D22" i="2" s="1"/>
  <c r="H14" i="1"/>
  <c r="D23" i="2" s="1"/>
  <c r="H17" i="1"/>
  <c r="D26" i="2" s="1"/>
  <c r="H16" i="1"/>
  <c r="D25" i="2" s="1"/>
  <c r="H15" i="1"/>
  <c r="D24" i="2" s="1"/>
  <c r="H22" i="1"/>
  <c r="D31" i="2" s="1"/>
  <c r="H19" i="1"/>
  <c r="D28" i="2" s="1"/>
  <c r="H12" i="1"/>
  <c r="D21" i="2" s="1"/>
  <c r="B30" i="1"/>
  <c r="C37" i="2" s="1"/>
  <c r="H18" i="1"/>
  <c r="D27" i="2" s="1"/>
  <c r="H11" i="1"/>
  <c r="D20" i="2" s="1"/>
  <c r="E58" i="2"/>
  <c r="C52" i="1"/>
  <c r="C55" i="2" s="1"/>
  <c r="C57" i="1"/>
  <c r="C60" i="2" s="1"/>
  <c r="H21" i="1"/>
  <c r="D30" i="2" s="1"/>
  <c r="B31" i="1"/>
  <c r="C38" i="2" s="1"/>
  <c r="C54" i="1"/>
  <c r="C57" i="2" s="1"/>
  <c r="C15" i="1"/>
  <c r="C11" i="2" s="1"/>
  <c r="B41" i="4"/>
  <c r="D35" i="2"/>
  <c r="D47" i="2" s="1"/>
  <c r="B42" i="4"/>
  <c r="B43" i="4"/>
  <c r="C12" i="2"/>
  <c r="C20" i="1"/>
  <c r="C16" i="2" s="1"/>
  <c r="C17" i="1"/>
  <c r="C13" i="2" s="1"/>
  <c r="C19" i="1"/>
  <c r="C15" i="2" s="1"/>
  <c r="C18" i="1"/>
  <c r="C14" i="2" s="1"/>
  <c r="C13" i="1"/>
  <c r="C9" i="2" s="1"/>
  <c r="C14" i="1"/>
  <c r="C10" i="2" s="1"/>
  <c r="C21" i="1"/>
  <c r="B41" i="1" l="1"/>
  <c r="C47" i="2"/>
  <c r="B42" i="1"/>
  <c r="B40" i="1"/>
  <c r="B4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Mahesh Maskey</author>
    <author>Bishnu</author>
  </authors>
  <commentList>
    <comment ref="K2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Constant Coefficient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8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Power, Area of Basin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28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Power, Area of Basin belo 5000m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28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Power of Monsoon Wetness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9" authorId="1" shapeId="0" xr:uid="{00000000-0006-0000-0100-000005000000}">
      <text>
        <r>
          <rPr>
            <b/>
            <sz val="8"/>
            <color indexed="81"/>
            <rFont val="Tahoma"/>
            <family val="2"/>
          </rPr>
          <t>Bishnu:</t>
        </r>
        <r>
          <rPr>
            <sz val="8"/>
            <color indexed="81"/>
            <rFont val="Tahoma"/>
            <family val="2"/>
          </rPr>
          <t xml:space="preserve">
Though I calculated this to observe the difference with the FDC from empirical relation, we should stick to the built-in version.</t>
        </r>
      </text>
    </comment>
  </commentList>
</comments>
</file>

<file path=xl/sharedStrings.xml><?xml version="1.0" encoding="utf-8"?>
<sst xmlns="http://schemas.openxmlformats.org/spreadsheetml/2006/main" count="271" uniqueCount="116">
  <si>
    <t>Location</t>
  </si>
  <si>
    <t>Catchment Area</t>
  </si>
  <si>
    <t>Monsoon Wetness index</t>
  </si>
  <si>
    <t>Area Below 5000m</t>
  </si>
  <si>
    <t>Area Below 3000m</t>
  </si>
  <si>
    <t xml:space="preserve">HYDROLOGICAL CALCULATION </t>
  </si>
  <si>
    <t>Job</t>
  </si>
  <si>
    <t>Job No</t>
  </si>
  <si>
    <t>Subject</t>
  </si>
  <si>
    <t xml:space="preserve">Calculated </t>
  </si>
  <si>
    <t>Date</t>
  </si>
  <si>
    <t>Checked</t>
  </si>
  <si>
    <t xml:space="preserve">Flood flows </t>
  </si>
  <si>
    <t>Return Period, T yrs</t>
  </si>
  <si>
    <t>Standard Normal Variate, s</t>
  </si>
  <si>
    <t>Low Flows</t>
  </si>
  <si>
    <t>Return Period</t>
  </si>
  <si>
    <t>Day</t>
  </si>
  <si>
    <t>Monthly</t>
  </si>
  <si>
    <t>Long term Hydrology</t>
  </si>
  <si>
    <t>Mean Monthly Flows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</si>
  <si>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</si>
  <si>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</si>
  <si>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</si>
  <si>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</si>
  <si>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</si>
  <si>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</si>
  <si>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</si>
  <si>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</si>
  <si>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</si>
  <si>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</si>
  <si>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</si>
  <si>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</si>
  <si>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</t>
  </si>
  <si>
    <t>b</t>
  </si>
  <si>
    <t>c</t>
  </si>
  <si>
    <t>d</t>
  </si>
  <si>
    <t>Const</t>
  </si>
  <si>
    <t>Elevation</t>
  </si>
  <si>
    <t>Annual Precipitation</t>
  </si>
  <si>
    <t>Average altitude</t>
  </si>
  <si>
    <t>m</t>
  </si>
  <si>
    <t>Area below 3000</t>
  </si>
  <si>
    <t>Area below 5000</t>
  </si>
  <si>
    <t>e</t>
  </si>
  <si>
    <t>Flow Duration curve</t>
  </si>
  <si>
    <t>Probability percentage,%</t>
  </si>
  <si>
    <r>
      <t>km</t>
    </r>
    <r>
      <rPr>
        <vertAlign val="superscript"/>
        <sz val="8"/>
        <rFont val="Arial"/>
        <family val="2"/>
      </rPr>
      <t>2</t>
    </r>
  </si>
  <si>
    <r>
      <t>Flood flows, Q 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/s</t>
    </r>
  </si>
  <si>
    <r>
      <t>C</t>
    </r>
    <r>
      <rPr>
        <vertAlign val="subscript"/>
        <sz val="8"/>
        <rFont val="Arial"/>
        <family val="2"/>
      </rPr>
      <t>d,T</t>
    </r>
  </si>
  <si>
    <r>
      <t>F</t>
    </r>
    <r>
      <rPr>
        <vertAlign val="subscript"/>
        <sz val="8"/>
        <rFont val="Arial"/>
        <family val="2"/>
      </rPr>
      <t>d,T</t>
    </r>
  </si>
  <si>
    <r>
      <t>Low flows, Q m</t>
    </r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>/s</t>
    </r>
  </si>
  <si>
    <t>Month</t>
  </si>
  <si>
    <r>
      <t>Flow, Q m</t>
    </r>
    <r>
      <rPr>
        <b/>
        <i/>
        <vertAlign val="superscript"/>
        <sz val="8"/>
        <rFont val="Arial"/>
        <family val="2"/>
      </rPr>
      <t>3</t>
    </r>
    <r>
      <rPr>
        <b/>
        <i/>
        <sz val="8"/>
        <rFont val="Arial"/>
        <family val="2"/>
      </rPr>
      <t>/s</t>
    </r>
  </si>
  <si>
    <t xml:space="preserve"> Comparision of new and old WECS</t>
  </si>
  <si>
    <t>Extreme Hydrology</t>
  </si>
  <si>
    <t>Flow Duration Curve</t>
  </si>
  <si>
    <t>Probability of Excedence (%)</t>
  </si>
  <si>
    <t>Discharge</t>
  </si>
  <si>
    <t>Daily</t>
  </si>
  <si>
    <t>C</t>
  </si>
  <si>
    <t xml:space="preserve">Mean Monthly Flow </t>
  </si>
  <si>
    <t>Maximum flow occurred</t>
  </si>
  <si>
    <t>Minimum  flow</t>
  </si>
  <si>
    <t>Hydest</t>
  </si>
  <si>
    <t>Ratio</t>
  </si>
  <si>
    <t>Average =</t>
  </si>
  <si>
    <t>Annual Wetness index</t>
  </si>
  <si>
    <t>DHM 2004</t>
  </si>
  <si>
    <t>Hydro Consult Pvt.Ltd</t>
  </si>
  <si>
    <t>SP Bhusal</t>
  </si>
  <si>
    <t>DHM 2004 (Modified Hydest)</t>
  </si>
  <si>
    <t>DHM 2004(Modifed Hydest)</t>
  </si>
  <si>
    <t>MHSP</t>
  </si>
  <si>
    <t>Middle Modi Hydroelectric Project</t>
  </si>
  <si>
    <t>MM HEP</t>
  </si>
  <si>
    <t>mm</t>
  </si>
  <si>
    <t xml:space="preserve">Hydrological estimation </t>
  </si>
  <si>
    <t>Instantaneous</t>
  </si>
  <si>
    <t>HYDEST, 1991</t>
  </si>
  <si>
    <t>Modified HYDEST</t>
  </si>
  <si>
    <r>
      <t>km</t>
    </r>
    <r>
      <rPr>
        <vertAlign val="superscript"/>
        <sz val="11"/>
        <rFont val="Gill Sans MT"/>
        <family val="2"/>
      </rPr>
      <t>2</t>
    </r>
  </si>
  <si>
    <r>
      <t>Flood Flow, Q m</t>
    </r>
    <r>
      <rPr>
        <b/>
        <vertAlign val="superscript"/>
        <sz val="11"/>
        <rFont val="Gill Sans MT"/>
        <family val="2"/>
      </rPr>
      <t>3</t>
    </r>
    <r>
      <rPr>
        <b/>
        <sz val="11"/>
        <rFont val="Gill Sans MT"/>
        <family val="2"/>
      </rPr>
      <t>/s</t>
    </r>
  </si>
  <si>
    <r>
      <t>Low flows, Q m</t>
    </r>
    <r>
      <rPr>
        <vertAlign val="superscript"/>
        <sz val="11"/>
        <rFont val="Gill Sans MT"/>
        <family val="2"/>
      </rPr>
      <t>3</t>
    </r>
    <r>
      <rPr>
        <sz val="11"/>
        <rFont val="Gill Sans MT"/>
        <family val="2"/>
      </rPr>
      <t>/s</t>
    </r>
  </si>
  <si>
    <r>
      <t>Flow, Q m</t>
    </r>
    <r>
      <rPr>
        <b/>
        <vertAlign val="superscript"/>
        <sz val="11"/>
        <rFont val="Gill Sans MT"/>
        <family val="2"/>
      </rPr>
      <t>3</t>
    </r>
    <r>
      <rPr>
        <b/>
        <sz val="11"/>
        <rFont val="Gill Sans MT"/>
        <family val="2"/>
      </rPr>
      <t>/s</t>
    </r>
  </si>
  <si>
    <r>
      <t>A</t>
    </r>
    <r>
      <rPr>
        <b/>
        <vertAlign val="subscript"/>
        <sz val="11"/>
        <rFont val="Gill Sans MT"/>
        <family val="2"/>
      </rPr>
      <t>1</t>
    </r>
  </si>
  <si>
    <r>
      <t>A</t>
    </r>
    <r>
      <rPr>
        <b/>
        <vertAlign val="subscript"/>
        <sz val="11"/>
        <rFont val="Gill Sans MT"/>
        <family val="2"/>
      </rPr>
      <t>2</t>
    </r>
    <r>
      <rPr>
        <sz val="10"/>
        <rFont val="Arial"/>
        <family val="2"/>
      </rPr>
      <t/>
    </r>
  </si>
  <si>
    <r>
      <t>A</t>
    </r>
    <r>
      <rPr>
        <b/>
        <vertAlign val="subscript"/>
        <sz val="11"/>
        <rFont val="Gill Sans MT"/>
        <family val="2"/>
      </rPr>
      <t>3</t>
    </r>
    <r>
      <rPr>
        <sz val="10"/>
        <rFont val="Arial"/>
        <family val="2"/>
      </rPr>
      <t/>
    </r>
  </si>
  <si>
    <r>
      <t>Flood flows, Q m</t>
    </r>
    <r>
      <rPr>
        <vertAlign val="superscript"/>
        <sz val="11"/>
        <rFont val="Gill Sans MT"/>
        <family val="2"/>
      </rPr>
      <t>3</t>
    </r>
    <r>
      <rPr>
        <sz val="11"/>
        <rFont val="Gill Sans MT"/>
        <family val="2"/>
      </rPr>
      <t>/s</t>
    </r>
  </si>
  <si>
    <r>
      <t>C</t>
    </r>
    <r>
      <rPr>
        <vertAlign val="subscript"/>
        <sz val="11"/>
        <rFont val="Gill Sans MT"/>
        <family val="2"/>
      </rPr>
      <t>d,T</t>
    </r>
  </si>
  <si>
    <r>
      <t>F</t>
    </r>
    <r>
      <rPr>
        <vertAlign val="subscript"/>
        <sz val="11"/>
        <rFont val="Gill Sans MT"/>
        <family val="2"/>
      </rPr>
      <t>d,T</t>
    </r>
  </si>
  <si>
    <r>
      <t>Flow, Q m</t>
    </r>
    <r>
      <rPr>
        <b/>
        <i/>
        <vertAlign val="superscript"/>
        <sz val="11"/>
        <rFont val="Gill Sans MT"/>
        <family val="2"/>
      </rPr>
      <t>3</t>
    </r>
    <r>
      <rPr>
        <b/>
        <i/>
        <sz val="11"/>
        <rFont val="Gill Sans MT"/>
        <family val="2"/>
      </rPr>
      <t>/s</t>
    </r>
  </si>
  <si>
    <r>
      <t>Flood flows, Q m</t>
    </r>
    <r>
      <rPr>
        <b/>
        <vertAlign val="superscript"/>
        <sz val="11"/>
        <rFont val="Gill Sans MT"/>
        <family val="2"/>
      </rPr>
      <t>3</t>
    </r>
    <r>
      <rPr>
        <b/>
        <sz val="11"/>
        <rFont val="Gill Sans MT"/>
        <family val="2"/>
      </rPr>
      <t>/s</t>
    </r>
  </si>
  <si>
    <r>
      <t>Low flows, Q m</t>
    </r>
    <r>
      <rPr>
        <b/>
        <vertAlign val="superscript"/>
        <sz val="11"/>
        <rFont val="Gill Sans MT"/>
        <family val="2"/>
      </rPr>
      <t>3</t>
    </r>
    <r>
      <rPr>
        <b/>
        <sz val="11"/>
        <rFont val="Gill Sans MT"/>
        <family val="2"/>
      </rPr>
      <t>/s</t>
    </r>
  </si>
  <si>
    <r>
      <t>Mean monthly flows, Q m</t>
    </r>
    <r>
      <rPr>
        <b/>
        <vertAlign val="superscript"/>
        <sz val="11"/>
        <rFont val="Gill Sans MT"/>
        <family val="2"/>
      </rPr>
      <t>3</t>
    </r>
    <r>
      <rPr>
        <b/>
        <sz val="11"/>
        <rFont val="Gill Sans MT"/>
        <family val="2"/>
      </rPr>
      <t>/s</t>
    </r>
  </si>
  <si>
    <t>-</t>
  </si>
  <si>
    <t>Annual Average</t>
  </si>
  <si>
    <t>DHM 2004 (modified Hydest)</t>
  </si>
  <si>
    <t>Kali Gandaki Tinau Diversion Multi Purpose Project</t>
  </si>
  <si>
    <t>S.no.</t>
  </si>
  <si>
    <t>Station Name</t>
  </si>
  <si>
    <t>Station Index</t>
  </si>
  <si>
    <r>
      <t>Total Area, km</t>
    </r>
    <r>
      <rPr>
        <b/>
        <vertAlign val="superscript"/>
        <sz val="11"/>
        <rFont val="Gill Sans MT"/>
        <family val="2"/>
      </rPr>
      <t>2</t>
    </r>
  </si>
  <si>
    <t>3000 masl &lt; Area &lt; 5000 masl</t>
  </si>
  <si>
    <t>Area above 5000 masl</t>
  </si>
  <si>
    <t>Area below 5000 masl</t>
  </si>
  <si>
    <t>Area below 3000 masl</t>
  </si>
  <si>
    <t>Isuwa at Intake</t>
  </si>
  <si>
    <t>Powerhouse river-1</t>
  </si>
  <si>
    <t>Uwa Gaon</t>
  </si>
  <si>
    <t>Sabhaya</t>
  </si>
  <si>
    <t>Hinwa</t>
  </si>
  <si>
    <t>Turkeghat</t>
  </si>
  <si>
    <t>ISUWA</t>
  </si>
  <si>
    <t>Due Deligence Study of Isuwa Khola HPP</t>
  </si>
  <si>
    <t>Powerhouse river-2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</si>
</sst>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000"/>
    <numFmt numFmtId="165" formatCode="0.00000"/>
    <numFmt numFmtId="166" formatCode="0.0000"/>
    <numFmt numFmtId="167" formatCode="0.000"/>
    <numFmt numFmtId="168" formatCode="_(* #,##0.000_);_(* \(#,##0.000\);_(* &quot;-&quot;??_);_(@_)"/>
    <numFmt numFmtId="169" formatCode="0.0"/>
    <numFmt numFmtId="170" formatCode="0.0000000000000"/>
    <numFmt numFmtId="171" formatCode="yyyy\-mm\-dd;@"/>
    <numFmt numFmtId="172" formatCode="0.0%"/>
  </numFmts>
  <fonts count="2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vertAlign val="subscript"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b/>
      <i/>
      <vertAlign val="superscript"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Gill Sans MT"/>
      <family val="2"/>
    </font>
    <font>
      <sz val="11"/>
      <name val="Gill Sans MT"/>
      <family val="2"/>
    </font>
    <font>
      <vertAlign val="superscript"/>
      <sz val="11"/>
      <name val="Gill Sans MT"/>
      <family val="2"/>
    </font>
    <font>
      <b/>
      <sz val="11"/>
      <name val="Gill Sans MT"/>
      <family val="2"/>
    </font>
    <font>
      <b/>
      <vertAlign val="superscript"/>
      <sz val="11"/>
      <name val="Gill Sans MT"/>
      <family val="2"/>
    </font>
    <font>
      <b/>
      <sz val="14"/>
      <name val="Gill Sans MT"/>
      <family val="2"/>
    </font>
    <font>
      <b/>
      <i/>
      <sz val="11"/>
      <name val="Gill Sans MT"/>
      <family val="2"/>
    </font>
    <font>
      <b/>
      <u/>
      <sz val="11"/>
      <name val="Gill Sans MT"/>
      <family val="2"/>
    </font>
    <font>
      <b/>
      <vertAlign val="subscript"/>
      <sz val="11"/>
      <name val="Gill Sans MT"/>
      <family val="2"/>
    </font>
    <font>
      <vertAlign val="subscript"/>
      <sz val="11"/>
      <name val="Gill Sans MT"/>
      <family val="2"/>
    </font>
    <font>
      <b/>
      <i/>
      <vertAlign val="superscript"/>
      <sz val="11"/>
      <name val="Gill Sans MT"/>
      <family val="2"/>
    </font>
    <font>
      <sz val="8"/>
      <name val="Gill Sans MT"/>
      <family val="2"/>
    </font>
    <font>
      <i/>
      <sz val="11"/>
      <name val="Gill Sans MT"/>
      <family val="2"/>
    </font>
    <font>
      <sz val="11"/>
      <color rgb="FFFF0000"/>
      <name val="Gill Sans MT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15" fontId="4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166" fontId="2" fillId="0" borderId="0" xfId="0" applyNumberFormat="1" applyFont="1"/>
    <xf numFmtId="165" fontId="2" fillId="0" borderId="0" xfId="0" applyNumberFormat="1" applyFont="1"/>
    <xf numFmtId="43" fontId="2" fillId="0" borderId="0" xfId="1" applyFont="1"/>
    <xf numFmtId="43" fontId="2" fillId="0" borderId="0" xfId="0" applyNumberFormat="1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8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167" fontId="2" fillId="0" borderId="0" xfId="0" applyNumberFormat="1" applyFont="1" applyBorder="1" applyAlignment="1">
      <alignment horizontal="center"/>
    </xf>
    <xf numFmtId="0" fontId="9" fillId="0" borderId="1" xfId="0" applyFont="1" applyBorder="1"/>
    <xf numFmtId="0" fontId="3" fillId="0" borderId="3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 applyAlignment="1"/>
    <xf numFmtId="0" fontId="4" fillId="0" borderId="1" xfId="0" applyFont="1" applyFill="1" applyBorder="1" applyAlignment="1">
      <alignment horizontal="left"/>
    </xf>
    <xf numFmtId="166" fontId="2" fillId="0" borderId="0" xfId="0" applyNumberFormat="1" applyFont="1" applyAlignment="1">
      <alignment horizontal="center"/>
    </xf>
    <xf numFmtId="43" fontId="2" fillId="0" borderId="0" xfId="1" applyFont="1" applyAlignment="1">
      <alignment horizontal="center"/>
    </xf>
    <xf numFmtId="168" fontId="2" fillId="0" borderId="0" xfId="1" applyNumberFormat="1" applyFont="1" applyAlignment="1">
      <alignment horizontal="center"/>
    </xf>
    <xf numFmtId="169" fontId="3" fillId="0" borderId="0" xfId="0" applyNumberFormat="1" applyFont="1"/>
    <xf numFmtId="0" fontId="2" fillId="4" borderId="1" xfId="0" applyFont="1" applyFill="1" applyBorder="1"/>
    <xf numFmtId="0" fontId="2" fillId="4" borderId="1" xfId="0" applyFont="1" applyFill="1" applyBorder="1" applyAlignment="1">
      <alignment horizontal="right"/>
    </xf>
    <xf numFmtId="0" fontId="14" fillId="0" borderId="1" xfId="0" applyFont="1" applyBorder="1"/>
    <xf numFmtId="0" fontId="14" fillId="2" borderId="1" xfId="0" applyFont="1" applyFill="1" applyBorder="1" applyAlignment="1">
      <alignment horizontal="right"/>
    </xf>
    <xf numFmtId="0" fontId="14" fillId="0" borderId="0" xfId="0" applyFont="1"/>
    <xf numFmtId="0" fontId="14" fillId="0" borderId="2" xfId="0" applyFont="1" applyBorder="1"/>
    <xf numFmtId="0" fontId="14" fillId="0" borderId="4" xfId="0" applyFont="1" applyBorder="1"/>
    <xf numFmtId="0" fontId="26" fillId="5" borderId="1" xfId="0" applyFont="1" applyFill="1" applyBorder="1"/>
    <xf numFmtId="0" fontId="14" fillId="0" borderId="3" xfId="0" applyFont="1" applyBorder="1"/>
    <xf numFmtId="0" fontId="16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1" fontId="14" fillId="0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right"/>
    </xf>
    <xf numFmtId="0" fontId="14" fillId="0" borderId="5" xfId="0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/>
    <xf numFmtId="15" fontId="14" fillId="0" borderId="0" xfId="0" applyNumberFormat="1" applyFont="1"/>
    <xf numFmtId="171" fontId="16" fillId="0" borderId="0" xfId="0" applyNumberFormat="1" applyFont="1"/>
    <xf numFmtId="0" fontId="14" fillId="0" borderId="0" xfId="0" applyFont="1" applyFill="1" applyBorder="1" applyAlignment="1">
      <alignment horizontal="center"/>
    </xf>
    <xf numFmtId="167" fontId="14" fillId="2" borderId="0" xfId="0" applyNumberFormat="1" applyFont="1" applyFill="1" applyBorder="1"/>
    <xf numFmtId="2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right"/>
    </xf>
    <xf numFmtId="167" fontId="14" fillId="0" borderId="0" xfId="0" applyNumberFormat="1" applyFont="1" applyBorder="1" applyAlignment="1">
      <alignment horizontal="center"/>
    </xf>
    <xf numFmtId="0" fontId="14" fillId="0" borderId="0" xfId="0" applyFont="1" applyBorder="1"/>
    <xf numFmtId="0" fontId="20" fillId="0" borderId="0" xfId="0" applyFont="1" applyFill="1" applyAlignment="1">
      <alignment horizontal="center" vertical="center" wrapText="1"/>
    </xf>
    <xf numFmtId="0" fontId="16" fillId="0" borderId="1" xfId="0" applyFont="1" applyFill="1" applyBorder="1"/>
    <xf numFmtId="0" fontId="16" fillId="0" borderId="0" xfId="0" applyFont="1" applyFill="1" applyBorder="1"/>
    <xf numFmtId="49" fontId="14" fillId="0" borderId="1" xfId="0" applyNumberFormat="1" applyFont="1" applyFill="1" applyBorder="1"/>
    <xf numFmtId="169" fontId="14" fillId="0" borderId="1" xfId="0" applyNumberFormat="1" applyFont="1" applyFill="1" applyBorder="1"/>
    <xf numFmtId="169" fontId="14" fillId="6" borderId="0" xfId="0" applyNumberFormat="1" applyFont="1" applyFill="1"/>
    <xf numFmtId="164" fontId="14" fillId="0" borderId="0" xfId="0" applyNumberFormat="1" applyFont="1" applyFill="1" applyBorder="1" applyAlignment="1">
      <alignment horizontal="center"/>
    </xf>
    <xf numFmtId="166" fontId="14" fillId="0" borderId="0" xfId="0" applyNumberFormat="1" applyFont="1" applyFill="1" applyBorder="1" applyAlignment="1">
      <alignment horizontal="center"/>
    </xf>
    <xf numFmtId="164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66" fontId="14" fillId="0" borderId="0" xfId="0" applyNumberFormat="1" applyFont="1" applyFill="1" applyAlignment="1">
      <alignment horizontal="center"/>
    </xf>
    <xf numFmtId="169" fontId="16" fillId="6" borderId="0" xfId="0" applyNumberFormat="1" applyFont="1" applyFill="1"/>
    <xf numFmtId="0" fontId="14" fillId="0" borderId="1" xfId="0" applyFont="1" applyFill="1" applyBorder="1"/>
    <xf numFmtId="169" fontId="16" fillId="0" borderId="1" xfId="0" applyNumberFormat="1" applyFont="1" applyFill="1" applyBorder="1"/>
    <xf numFmtId="0" fontId="14" fillId="0" borderId="1" xfId="0" applyFont="1" applyFill="1" applyBorder="1" applyAlignment="1">
      <alignment horizontal="left"/>
    </xf>
    <xf numFmtId="0" fontId="16" fillId="0" borderId="0" xfId="0" applyFont="1" applyFill="1" applyAlignment="1">
      <alignment horizontal="left"/>
    </xf>
    <xf numFmtId="0" fontId="20" fillId="0" borderId="0" xfId="0" applyFont="1" applyFill="1" applyAlignment="1">
      <alignment horizontal="center" wrapText="1"/>
    </xf>
    <xf numFmtId="0" fontId="16" fillId="0" borderId="2" xfId="0" applyFont="1" applyFill="1" applyBorder="1"/>
    <xf numFmtId="169" fontId="14" fillId="0" borderId="1" xfId="0" applyNumberFormat="1" applyFont="1" applyFill="1" applyBorder="1" applyAlignment="1">
      <alignment horizontal="center"/>
    </xf>
    <xf numFmtId="169" fontId="16" fillId="0" borderId="1" xfId="0" applyNumberFormat="1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6" fillId="0" borderId="3" xfId="0" applyFont="1" applyBorder="1" applyAlignment="1"/>
    <xf numFmtId="0" fontId="16" fillId="0" borderId="0" xfId="0" applyFont="1" applyBorder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center"/>
    </xf>
    <xf numFmtId="166" fontId="14" fillId="0" borderId="0" xfId="0" applyNumberFormat="1" applyFont="1"/>
    <xf numFmtId="165" fontId="14" fillId="0" borderId="0" xfId="0" applyNumberFormat="1" applyFont="1"/>
    <xf numFmtId="166" fontId="14" fillId="0" borderId="0" xfId="0" applyNumberFormat="1" applyFont="1" applyAlignment="1">
      <alignment horizontal="center"/>
    </xf>
    <xf numFmtId="168" fontId="14" fillId="0" borderId="0" xfId="1" applyNumberFormat="1" applyFont="1" applyAlignment="1">
      <alignment horizontal="center"/>
    </xf>
    <xf numFmtId="43" fontId="14" fillId="0" borderId="0" xfId="1" applyFont="1" applyAlignment="1">
      <alignment horizontal="center"/>
    </xf>
    <xf numFmtId="43" fontId="14" fillId="0" borderId="0" xfId="1" applyFont="1"/>
    <xf numFmtId="43" fontId="14" fillId="0" borderId="0" xfId="0" applyNumberFormat="1" applyFont="1"/>
    <xf numFmtId="169" fontId="16" fillId="0" borderId="0" xfId="0" applyNumberFormat="1" applyFont="1"/>
    <xf numFmtId="2" fontId="14" fillId="0" borderId="0" xfId="0" applyNumberFormat="1" applyFont="1"/>
    <xf numFmtId="166" fontId="26" fillId="0" borderId="0" xfId="0" applyNumberFormat="1" applyFont="1"/>
    <xf numFmtId="0" fontId="24" fillId="0" borderId="0" xfId="0" applyFont="1"/>
    <xf numFmtId="0" fontId="13" fillId="0" borderId="0" xfId="0" applyFont="1"/>
    <xf numFmtId="0" fontId="25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70" fontId="14" fillId="0" borderId="0" xfId="0" applyNumberFormat="1" applyFont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right" vertical="center"/>
    </xf>
    <xf numFmtId="0" fontId="19" fillId="0" borderId="0" xfId="0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169" fontId="14" fillId="0" borderId="1" xfId="0" applyNumberFormat="1" applyFont="1" applyBorder="1" applyAlignment="1">
      <alignment vertical="center"/>
    </xf>
    <xf numFmtId="2" fontId="14" fillId="0" borderId="1" xfId="0" applyNumberFormat="1" applyFont="1" applyBorder="1" applyAlignment="1">
      <alignment vertical="center"/>
    </xf>
    <xf numFmtId="169" fontId="14" fillId="0" borderId="7" xfId="0" applyNumberFormat="1" applyFont="1" applyBorder="1" applyAlignment="1">
      <alignment vertical="center"/>
    </xf>
    <xf numFmtId="169" fontId="16" fillId="0" borderId="1" xfId="0" applyNumberFormat="1" applyFont="1" applyBorder="1" applyAlignment="1">
      <alignment vertical="center"/>
    </xf>
    <xf numFmtId="169" fontId="16" fillId="0" borderId="7" xfId="0" applyNumberFormat="1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4" fillId="0" borderId="1" xfId="0" applyFont="1" applyFill="1" applyBorder="1" applyAlignment="1">
      <alignment horizontal="left" vertical="center"/>
    </xf>
    <xf numFmtId="1" fontId="14" fillId="0" borderId="1" xfId="0" applyNumberFormat="1" applyFont="1" applyBorder="1" applyAlignment="1">
      <alignment vertical="center"/>
    </xf>
    <xf numFmtId="1" fontId="16" fillId="0" borderId="1" xfId="0" applyNumberFormat="1" applyFont="1" applyBorder="1" applyAlignment="1">
      <alignment vertical="center"/>
    </xf>
    <xf numFmtId="0" fontId="14" fillId="4" borderId="1" xfId="0" applyFont="1" applyFill="1" applyBorder="1" applyAlignment="1">
      <alignment horizontal="right" vertical="center"/>
    </xf>
    <xf numFmtId="0" fontId="14" fillId="0" borderId="2" xfId="0" applyFont="1" applyBorder="1" applyAlignment="1">
      <alignment vertical="center"/>
    </xf>
    <xf numFmtId="0" fontId="14" fillId="4" borderId="1" xfId="0" applyFont="1" applyFill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2" fontId="14" fillId="2" borderId="1" xfId="0" applyNumberFormat="1" applyFont="1" applyFill="1" applyBorder="1"/>
    <xf numFmtId="2" fontId="14" fillId="3" borderId="1" xfId="0" applyNumberFormat="1" applyFont="1" applyFill="1" applyBorder="1"/>
    <xf numFmtId="2" fontId="14" fillId="4" borderId="1" xfId="0" applyNumberFormat="1" applyFont="1" applyFill="1" applyBorder="1" applyAlignment="1">
      <alignment vertical="center"/>
    </xf>
    <xf numFmtId="2" fontId="14" fillId="4" borderId="9" xfId="0" applyNumberFormat="1" applyFont="1" applyFill="1" applyBorder="1" applyAlignment="1">
      <alignment vertical="center"/>
    </xf>
    <xf numFmtId="169" fontId="26" fillId="4" borderId="1" xfId="0" applyNumberFormat="1" applyFont="1" applyFill="1" applyBorder="1" applyAlignment="1">
      <alignment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6" fillId="0" borderId="0" xfId="4" applyFont="1" applyBorder="1" applyAlignment="1">
      <alignment horizontal="center" vertical="center" wrapText="1"/>
    </xf>
    <xf numFmtId="0" fontId="14" fillId="0" borderId="0" xfId="4" applyFont="1" applyBorder="1"/>
    <xf numFmtId="169" fontId="14" fillId="0" borderId="0" xfId="4" applyNumberFormat="1" applyFont="1" applyBorder="1" applyAlignment="1">
      <alignment horizontal="right"/>
    </xf>
    <xf numFmtId="9" fontId="14" fillId="0" borderId="0" xfId="6" applyFont="1" applyBorder="1"/>
    <xf numFmtId="9" fontId="14" fillId="0" borderId="0" xfId="6" applyFont="1" applyFill="1" applyBorder="1"/>
    <xf numFmtId="9" fontId="14" fillId="0" borderId="0" xfId="4" applyNumberFormat="1" applyFont="1" applyBorder="1"/>
    <xf numFmtId="9" fontId="14" fillId="0" borderId="0" xfId="6" applyFont="1" applyBorder="1" applyAlignment="1">
      <alignment horizontal="right"/>
    </xf>
    <xf numFmtId="0" fontId="14" fillId="0" borderId="0" xfId="4" applyFont="1" applyBorder="1" applyAlignment="1">
      <alignment horizontal="center"/>
    </xf>
    <xf numFmtId="0" fontId="20" fillId="0" borderId="0" xfId="4" applyFont="1" applyBorder="1"/>
    <xf numFmtId="0" fontId="16" fillId="0" borderId="0" xfId="4" applyFont="1" applyBorder="1" applyAlignment="1">
      <alignment wrapText="1"/>
    </xf>
    <xf numFmtId="0" fontId="16" fillId="0" borderId="0" xfId="4" applyFont="1" applyBorder="1" applyAlignment="1">
      <alignment vertical="center" wrapText="1"/>
    </xf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/>
    </xf>
    <xf numFmtId="169" fontId="14" fillId="0" borderId="1" xfId="0" applyNumberFormat="1" applyFont="1" applyBorder="1"/>
    <xf numFmtId="10" fontId="14" fillId="0" borderId="1" xfId="6" applyNumberFormat="1" applyFont="1" applyFill="1" applyBorder="1"/>
    <xf numFmtId="10" fontId="14" fillId="0" borderId="1" xfId="6" applyNumberFormat="1" applyFont="1" applyBorder="1"/>
    <xf numFmtId="169" fontId="14" fillId="0" borderId="1" xfId="0" applyNumberFormat="1" applyFont="1" applyBorder="1" applyAlignment="1">
      <alignment horizontal="right"/>
    </xf>
    <xf numFmtId="172" fontId="14" fillId="0" borderId="1" xfId="0" applyNumberFormat="1" applyFont="1" applyBorder="1" applyAlignment="1">
      <alignment horizontal="right"/>
    </xf>
    <xf numFmtId="172" fontId="14" fillId="0" borderId="1" xfId="6" applyNumberFormat="1" applyFont="1" applyBorder="1" applyAlignment="1">
      <alignment horizontal="right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6" fillId="0" borderId="8" xfId="0" applyFont="1" applyFill="1" applyBorder="1" applyAlignment="1">
      <alignment horizontal="center" wrapText="1"/>
    </xf>
    <xf numFmtId="0" fontId="16" fillId="0" borderId="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9" fontId="14" fillId="0" borderId="2" xfId="0" applyNumberFormat="1" applyFont="1" applyBorder="1" applyAlignment="1">
      <alignment horizontal="center"/>
    </xf>
    <xf numFmtId="169" fontId="14" fillId="0" borderId="4" xfId="0" applyNumberFormat="1" applyFont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left" wrapText="1"/>
    </xf>
    <xf numFmtId="0" fontId="19" fillId="0" borderId="3" xfId="0" applyFont="1" applyBorder="1" applyAlignment="1">
      <alignment horizontal="center"/>
    </xf>
    <xf numFmtId="169" fontId="14" fillId="0" borderId="2" xfId="0" applyNumberFormat="1" applyFont="1" applyBorder="1" applyAlignment="1">
      <alignment horizontal="center" vertical="center"/>
    </xf>
    <xf numFmtId="169" fontId="14" fillId="0" borderId="4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7" fontId="14" fillId="0" borderId="2" xfId="0" applyNumberFormat="1" applyFont="1" applyBorder="1" applyAlignment="1">
      <alignment horizontal="center"/>
    </xf>
    <xf numFmtId="167" fontId="14" fillId="0" borderId="8" xfId="0" applyNumberFormat="1" applyFont="1" applyBorder="1" applyAlignment="1">
      <alignment horizontal="center"/>
    </xf>
    <xf numFmtId="167" fontId="14" fillId="0" borderId="4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4" fillId="7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169" fontId="2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9" fontId="3" fillId="0" borderId="1" xfId="0" applyNumberFormat="1" applyFont="1" applyBorder="1" applyAlignment="1">
      <alignment horizontal="center"/>
    </xf>
    <xf numFmtId="169" fontId="2" fillId="0" borderId="2" xfId="0" applyNumberFormat="1" applyFont="1" applyBorder="1" applyAlignment="1">
      <alignment horizontal="center"/>
    </xf>
    <xf numFmtId="169" fontId="2" fillId="0" borderId="4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9" fontId="14" fillId="0" borderId="1" xfId="0" applyNumberFormat="1" applyFont="1" applyBorder="1" applyAlignment="1">
      <alignment horizontal="center" vertical="center"/>
    </xf>
    <xf numFmtId="169" fontId="16" fillId="0" borderId="0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</cellXfs>
  <cellStyles count="7">
    <cellStyle name="Comma" xfId="1" builtinId="3"/>
    <cellStyle name="Normal" xfId="0" builtinId="0"/>
    <cellStyle name="Normal 2" xfId="2" xr:uid="{00000000-0005-0000-0000-000002000000}"/>
    <cellStyle name="Normal 2 2" xfId="4" xr:uid="{00000000-0005-0000-0000-000003000000}"/>
    <cellStyle name="Normal 3 2" xfId="5" xr:uid="{00000000-0005-0000-0000-000004000000}"/>
    <cellStyle name="Percent 2" xfId="3" xr:uid="{00000000-0005-0000-0000-000005000000}"/>
    <cellStyle name="Percent 3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/>
            </a:pPr>
            <a:r>
              <a:rPr lang="en-US" sz="1100" b="1"/>
              <a:t>Monthly Flow</a:t>
            </a:r>
          </a:p>
        </c:rich>
      </c:tx>
      <c:layout>
        <c:manualLayout>
          <c:xMode val="edge"/>
          <c:yMode val="edge"/>
          <c:x val="0.39984001553658871"/>
          <c:y val="2.96737298081642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15412604110406"/>
          <c:y val="0.13256838807955545"/>
          <c:w val="0.86404250922151338"/>
          <c:h val="0.68582348187403008"/>
        </c:manualLayout>
      </c:layout>
      <c:scatterChart>
        <c:scatterStyle val="smoothMarker"/>
        <c:varyColors val="0"/>
        <c:ser>
          <c:idx val="0"/>
          <c:order val="0"/>
          <c:tx>
            <c:v>Flow Duration Curve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HYDEST!$A$29:$A$40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HYDEST!$B$29:$B$40</c:f>
              <c:numCache>
                <c:formatCode>0.0</c:formatCode>
                <c:ptCount val="12"/>
                <c:pt idx="0">
                  <c:v>2.6614123586193146</c:v>
                </c:pt>
                <c:pt idx="1">
                  <c:v>2.2664955764769563</c:v>
                </c:pt>
                <c:pt idx="2">
                  <c:v>2.0470173503650257</c:v>
                </c:pt>
                <c:pt idx="3">
                  <c:v>2.1207266573195973</c:v>
                </c:pt>
                <c:pt idx="4">
                  <c:v>2.873628297271031</c:v>
                </c:pt>
                <c:pt idx="5">
                  <c:v>11.45956421975092</c:v>
                </c:pt>
                <c:pt idx="6">
                  <c:v>33.852229829461621</c:v>
                </c:pt>
                <c:pt idx="7">
                  <c:v>40.887286136279357</c:v>
                </c:pt>
                <c:pt idx="8">
                  <c:v>31.736210258884618</c:v>
                </c:pt>
                <c:pt idx="9">
                  <c:v>13.673823037617911</c:v>
                </c:pt>
                <c:pt idx="10">
                  <c:v>6.6067467441726491</c:v>
                </c:pt>
                <c:pt idx="11">
                  <c:v>4.2375028203572507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C0-407A-8C67-6ED0B02AF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71464"/>
        <c:axId val="287880480"/>
      </c:scatterChart>
      <c:valAx>
        <c:axId val="287871464"/>
        <c:scaling>
          <c:orientation val="minMax"/>
          <c:max val="12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n-US" sz="1100" b="1"/>
                  <a:t>Month</a:t>
                </a:r>
              </a:p>
            </c:rich>
          </c:tx>
          <c:layout>
            <c:manualLayout>
              <c:xMode val="edge"/>
              <c:yMode val="edge"/>
              <c:x val="0.50198028817826346"/>
              <c:y val="0.93255551502928624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endParaRPr lang="en-US"/>
          </a:p>
        </c:txPr>
        <c:crossAx val="287880480"/>
        <c:crosses val="autoZero"/>
        <c:crossBetween val="midCat"/>
        <c:majorUnit val="1"/>
      </c:valAx>
      <c:valAx>
        <c:axId val="287880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n-US" sz="1100" b="1"/>
                  <a:t>Flow, m3/s</a:t>
                </a:r>
              </a:p>
            </c:rich>
          </c:tx>
          <c:layout>
            <c:manualLayout>
              <c:xMode val="edge"/>
              <c:yMode val="edge"/>
              <c:x val="1.402146160301391E-3"/>
              <c:y val="0.376384532314932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287871464"/>
        <c:crosses val="autoZero"/>
        <c:crossBetween val="midCat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ill Sans MT" panose="020B0502020104020203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/>
            </a:pPr>
            <a:r>
              <a:rPr lang="en-US" sz="1100" b="1"/>
              <a:t> Flow Duration Curve</a:t>
            </a:r>
          </a:p>
        </c:rich>
      </c:tx>
      <c:layout>
        <c:manualLayout>
          <c:xMode val="edge"/>
          <c:yMode val="edge"/>
          <c:x val="0.3719914632937284"/>
          <c:y val="4.18601622165650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64603475198511"/>
          <c:y val="0.15347542083555346"/>
          <c:w val="0.83683743866162841"/>
          <c:h val="0.6487391707615494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HYDEST!$A$48:$A$57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  <c:pt idx="7">
                  <c:v>80</c:v>
                </c:pt>
                <c:pt idx="8">
                  <c:v>95</c:v>
                </c:pt>
                <c:pt idx="9">
                  <c:v>100</c:v>
                </c:pt>
              </c:numCache>
            </c:numRef>
          </c:xVal>
          <c:yVal>
            <c:numRef>
              <c:f>HYDEST!$C$48:$C$57</c:f>
              <c:numCache>
                <c:formatCode>0.0</c:formatCode>
                <c:ptCount val="10"/>
                <c:pt idx="0">
                  <c:v>83.036786424107987</c:v>
                </c:pt>
                <c:pt idx="1">
                  <c:v>46.631544513477145</c:v>
                </c:pt>
                <c:pt idx="2">
                  <c:v>27.299768986900389</c:v>
                </c:pt>
                <c:pt idx="3">
                  <c:v>7.354674154850346</c:v>
                </c:pt>
                <c:pt idx="4">
                  <c:v>5.4768569365062163</c:v>
                </c:pt>
                <c:pt idx="5">
                  <c:v>3.5990397181620875</c:v>
                </c:pt>
                <c:pt idx="6">
                  <c:v>3.2029316481904586</c:v>
                </c:pt>
                <c:pt idx="7">
                  <c:v>2.0146074382755716</c:v>
                </c:pt>
                <c:pt idx="8">
                  <c:v>1.3420288313715691</c:v>
                </c:pt>
                <c:pt idx="9">
                  <c:v>1.1751276124098495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23-4423-B621-30BEF03F9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77344"/>
        <c:axId val="287878520"/>
      </c:scatterChart>
      <c:valAx>
        <c:axId val="2878773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n-US" sz="1100" b="1"/>
                  <a:t>Probability  Exceedence , %</a:t>
                </a:r>
              </a:p>
            </c:rich>
          </c:tx>
          <c:layout>
            <c:manualLayout>
              <c:xMode val="edge"/>
              <c:yMode val="edge"/>
              <c:x val="0.33698679315185004"/>
              <c:y val="0.916431235569238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endParaRPr lang="en-US"/>
          </a:p>
        </c:txPr>
        <c:crossAx val="287878520"/>
        <c:crosses val="autoZero"/>
        <c:crossBetween val="midCat"/>
      </c:valAx>
      <c:valAx>
        <c:axId val="287878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n-US" sz="1100" b="1"/>
                  <a:t>Flow, m3/s</a:t>
                </a:r>
              </a:p>
            </c:rich>
          </c:tx>
          <c:layout>
            <c:manualLayout>
              <c:xMode val="edge"/>
              <c:yMode val="edge"/>
              <c:x val="1.2469017913516278E-3"/>
              <c:y val="0.3400367059380735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287877344"/>
        <c:crosses val="autoZero"/>
        <c:crossBetween val="midCat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ill Sans MT" panose="020B0502020104020203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54592696022687"/>
          <c:y val="3.583082316052775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92139737991266"/>
          <c:y val="0.13397236408355681"/>
          <c:w val="0.80349344978165937"/>
          <c:h val="0.68395534072340747"/>
        </c:manualLayout>
      </c:layout>
      <c:scatterChart>
        <c:scatterStyle val="smoothMarker"/>
        <c:varyColors val="0"/>
        <c:ser>
          <c:idx val="0"/>
          <c:order val="0"/>
          <c:tx>
            <c:v>Flow Duration Curve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'Modified HYDEST'!$A$48:$A$57</c:f>
              <c:numCache>
                <c:formatCode>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  <c:pt idx="7">
                  <c:v>80</c:v>
                </c:pt>
                <c:pt idx="8">
                  <c:v>95</c:v>
                </c:pt>
                <c:pt idx="9">
                  <c:v>100</c:v>
                </c:pt>
              </c:numCache>
            </c:numRef>
          </c:xVal>
          <c:yVal>
            <c:numRef>
              <c:f>'Modified HYDEST'!$C$48:$C$57</c:f>
              <c:numCache>
                <c:formatCode>0.0</c:formatCode>
                <c:ptCount val="10"/>
                <c:pt idx="0">
                  <c:v>176.00841783703962</c:v>
                </c:pt>
                <c:pt idx="1">
                  <c:v>49.693258461696381</c:v>
                </c:pt>
                <c:pt idx="2">
                  <c:v>31.33550947357524</c:v>
                </c:pt>
                <c:pt idx="3">
                  <c:v>11.753466729775671</c:v>
                </c:pt>
                <c:pt idx="4">
                  <c:v>8.8282588590228883</c:v>
                </c:pt>
                <c:pt idx="5">
                  <c:v>5.9030509882701052</c:v>
                </c:pt>
                <c:pt idx="6">
                  <c:v>5.5304124355401036</c:v>
                </c:pt>
                <c:pt idx="7">
                  <c:v>4.4124967773500989</c:v>
                </c:pt>
                <c:pt idx="8">
                  <c:v>3.2879635568786143</c:v>
                </c:pt>
                <c:pt idx="9">
                  <c:v>1.782541290460107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1-4A4F-888F-10A729DA3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81264"/>
        <c:axId val="287872248"/>
      </c:scatterChart>
      <c:valAx>
        <c:axId val="287881264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n-US" sz="1100" b="1"/>
                  <a:t>Probability Exceedence, %</a:t>
                </a:r>
              </a:p>
            </c:rich>
          </c:tx>
          <c:layout>
            <c:manualLayout>
              <c:xMode val="edge"/>
              <c:yMode val="edge"/>
              <c:x val="0.38427941479892713"/>
              <c:y val="0.8827376443716347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endParaRPr lang="en-US"/>
          </a:p>
        </c:txPr>
        <c:crossAx val="287872248"/>
        <c:crosses val="autoZero"/>
        <c:crossBetween val="midCat"/>
      </c:valAx>
      <c:valAx>
        <c:axId val="28787224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n-US" sz="1100" b="1"/>
                  <a:t>Flow, m</a:t>
                </a:r>
                <a:r>
                  <a:rPr lang="en-US" sz="1100" b="1" baseline="30000"/>
                  <a:t>3</a:t>
                </a:r>
                <a:r>
                  <a:rPr lang="en-US" sz="1100" b="1" baseline="0"/>
                  <a:t>/s</a:t>
                </a:r>
              </a:p>
            </c:rich>
          </c:tx>
          <c:layout>
            <c:manualLayout>
              <c:xMode val="edge"/>
              <c:yMode val="edge"/>
              <c:x val="3.4934527151199338E-2"/>
              <c:y val="0.3941376455459845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/>
            </a:pPr>
            <a:endParaRPr lang="en-US"/>
          </a:p>
        </c:txPr>
        <c:crossAx val="287881264"/>
        <c:crosses val="autoZero"/>
        <c:crossBetween val="midCat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Gill Sans MT" panose="020B0502020104020203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/>
            </a:pPr>
            <a:r>
              <a:rPr lang="en-US" sz="1100" b="1"/>
              <a:t>Monthly Flow</a:t>
            </a:r>
          </a:p>
        </c:rich>
      </c:tx>
      <c:layout>
        <c:manualLayout>
          <c:xMode val="edge"/>
          <c:yMode val="edge"/>
          <c:x val="0.43238458689596315"/>
          <c:y val="3.60658259619861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6212612035589"/>
          <c:y val="0.12420344410159805"/>
          <c:w val="0.85229274279245337"/>
          <c:h val="0.6659607016108946"/>
        </c:manualLayout>
      </c:layout>
      <c:scatterChart>
        <c:scatterStyle val="smoothMarker"/>
        <c:varyColors val="0"/>
        <c:ser>
          <c:idx val="0"/>
          <c:order val="0"/>
          <c:tx>
            <c:v>Flow Duration Curve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'Modified HYDEST'!$A$27:$A$39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xVal>
          <c:yVal>
            <c:numRef>
              <c:f>'Modified HYDEST'!$B$28:$B$39</c:f>
              <c:numCache>
                <c:formatCode>0.0</c:formatCode>
                <c:ptCount val="12"/>
                <c:pt idx="0">
                  <c:v>4.760066064191304</c:v>
                </c:pt>
                <c:pt idx="1">
                  <c:v>4.1153252791227652</c:v>
                </c:pt>
                <c:pt idx="2">
                  <c:v>2.8963521900565534</c:v>
                </c:pt>
                <c:pt idx="3">
                  <c:v>2.84642119449475</c:v>
                </c:pt>
                <c:pt idx="4">
                  <c:v>3.8795600019739238</c:v>
                </c:pt>
                <c:pt idx="5">
                  <c:v>18.011077543691648</c:v>
                </c:pt>
                <c:pt idx="6">
                  <c:v>39.557154561935363</c:v>
                </c:pt>
                <c:pt idx="7">
                  <c:v>53.914218540194533</c:v>
                </c:pt>
                <c:pt idx="8">
                  <c:v>34.77148711771499</c:v>
                </c:pt>
                <c:pt idx="9">
                  <c:v>17.534794166870796</c:v>
                </c:pt>
                <c:pt idx="10">
                  <c:v>8.6445960376944324</c:v>
                </c:pt>
                <c:pt idx="11">
                  <c:v>5.9271303154154777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F3-4B79-ACFB-696C4491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72640"/>
        <c:axId val="287875384"/>
      </c:scatterChart>
      <c:valAx>
        <c:axId val="287872640"/>
        <c:scaling>
          <c:orientation val="minMax"/>
          <c:max val="12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n-US" sz="1100" b="1"/>
                  <a:t>Month</a:t>
                </a:r>
              </a:p>
            </c:rich>
          </c:tx>
          <c:layout>
            <c:manualLayout>
              <c:xMode val="edge"/>
              <c:yMode val="edge"/>
              <c:x val="0.51067645685393614"/>
              <c:y val="0.878688608653995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Gill Sans MT"/>
                <a:ea typeface="Gill Sans MT"/>
                <a:cs typeface="Gill Sans MT"/>
              </a:defRPr>
            </a:pPr>
            <a:endParaRPr lang="en-US"/>
          </a:p>
        </c:txPr>
        <c:crossAx val="287875384"/>
        <c:crosses val="autoZero"/>
        <c:crossBetween val="midCat"/>
        <c:majorUnit val="1"/>
      </c:valAx>
      <c:valAx>
        <c:axId val="287875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n-US" sz="1100" b="1"/>
                  <a:t>Flow, m</a:t>
                </a:r>
                <a:r>
                  <a:rPr lang="en-US" sz="1100" b="1" baseline="30000"/>
                  <a:t>3</a:t>
                </a:r>
                <a:r>
                  <a:rPr lang="en-US" sz="1100" b="1" baseline="0"/>
                  <a:t>/s</a:t>
                </a:r>
              </a:p>
            </c:rich>
          </c:tx>
          <c:layout>
            <c:manualLayout>
              <c:xMode val="edge"/>
              <c:yMode val="edge"/>
              <c:x val="1.8989259778110557E-2"/>
              <c:y val="0.3934427733808338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/>
            </a:pPr>
            <a:endParaRPr lang="en-US"/>
          </a:p>
        </c:txPr>
        <c:crossAx val="287872640"/>
        <c:crosses val="autoZero"/>
        <c:crossBetween val="midCat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ill Sans MT" panose="020B0502020104020203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54585152838427"/>
          <c:y val="3.583061889250814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92139737991272"/>
          <c:y val="0.1889253819176602"/>
          <c:w val="0.80349344978165915"/>
          <c:h val="0.6058641558049096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'Modified HYDEST_PH'!$A$50:$A$59</c:f>
              <c:numCache>
                <c:formatCode>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  <c:pt idx="7">
                  <c:v>80</c:v>
                </c:pt>
                <c:pt idx="8">
                  <c:v>95</c:v>
                </c:pt>
                <c:pt idx="9">
                  <c:v>100</c:v>
                </c:pt>
              </c:numCache>
            </c:numRef>
          </c:xVal>
          <c:yVal>
            <c:numRef>
              <c:f>'Modified HYDEST_PH'!$C$50:$C$59</c:f>
              <c:numCache>
                <c:formatCode>0.0</c:formatCode>
                <c:ptCount val="10"/>
                <c:pt idx="0">
                  <c:v>298.16624400620458</c:v>
                </c:pt>
                <c:pt idx="1">
                  <c:v>150.73671477482205</c:v>
                </c:pt>
                <c:pt idx="2">
                  <c:v>98.79930760611505</c:v>
                </c:pt>
                <c:pt idx="3">
                  <c:v>36.298789812964529</c:v>
                </c:pt>
                <c:pt idx="4">
                  <c:v>26.84300979460647</c:v>
                </c:pt>
                <c:pt idx="5">
                  <c:v>17.387229776248411</c:v>
                </c:pt>
                <c:pt idx="6">
                  <c:v>16.325398321077024</c:v>
                </c:pt>
                <c:pt idx="7">
                  <c:v>13.139903955562866</c:v>
                </c:pt>
                <c:pt idx="8">
                  <c:v>10.014963657737098</c:v>
                </c:pt>
                <c:pt idx="9">
                  <c:v>3.4924393796516449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C-4B50-9932-972DF1B42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82832"/>
        <c:axId val="287873032"/>
      </c:scatterChart>
      <c:valAx>
        <c:axId val="2878828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Exceedence, %</a:t>
                </a:r>
              </a:p>
            </c:rich>
          </c:tx>
          <c:layout>
            <c:manualLayout>
              <c:xMode val="edge"/>
              <c:yMode val="edge"/>
              <c:x val="0.38427947598253276"/>
              <c:y val="0.8827375242589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873032"/>
        <c:crosses val="autoZero"/>
        <c:crossBetween val="midCat"/>
      </c:valAx>
      <c:valAx>
        <c:axId val="28787303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Flow, m</a:t>
                </a:r>
                <a:r>
                  <a:rPr lang="en-US" sz="82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en-US" sz="8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/s</a:t>
                </a:r>
              </a:p>
            </c:rich>
          </c:tx>
          <c:layout>
            <c:manualLayout>
              <c:xMode val="edge"/>
              <c:yMode val="edge"/>
              <c:x val="3.4934497816593885E-2"/>
              <c:y val="0.394137491771183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882832"/>
        <c:crosses val="autoZero"/>
        <c:crossBetween val="midCat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Flow</a:t>
            </a:r>
          </a:p>
        </c:rich>
      </c:tx>
      <c:layout>
        <c:manualLayout>
          <c:xMode val="edge"/>
          <c:yMode val="edge"/>
          <c:x val="0.43238469325283535"/>
          <c:y val="3.60655737704918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89335128912444"/>
          <c:y val="0.19672131147540989"/>
          <c:w val="0.83096157605508392"/>
          <c:h val="0.59344262295081951"/>
        </c:manualLayout>
      </c:layout>
      <c:scatterChart>
        <c:scatterStyle val="smoothMarker"/>
        <c:varyColors val="0"/>
        <c:ser>
          <c:idx val="0"/>
          <c:order val="0"/>
          <c:tx>
            <c:v>Flow Duration Curve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strRef>
              <c:f>'Modified HYDEST'!$A$27:$A$39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xVal>
          <c:yVal>
            <c:numRef>
              <c:f>'Modified HYDEST'!$B$28:$B$39</c:f>
              <c:numCache>
                <c:formatCode>0.0</c:formatCode>
                <c:ptCount val="12"/>
                <c:pt idx="0">
                  <c:v>4.760066064191304</c:v>
                </c:pt>
                <c:pt idx="1">
                  <c:v>4.1153252791227652</c:v>
                </c:pt>
                <c:pt idx="2">
                  <c:v>2.8963521900565534</c:v>
                </c:pt>
                <c:pt idx="3">
                  <c:v>2.84642119449475</c:v>
                </c:pt>
                <c:pt idx="4">
                  <c:v>3.8795600019739238</c:v>
                </c:pt>
                <c:pt idx="5">
                  <c:v>18.011077543691648</c:v>
                </c:pt>
                <c:pt idx="6">
                  <c:v>39.557154561935363</c:v>
                </c:pt>
                <c:pt idx="7">
                  <c:v>53.914218540194533</c:v>
                </c:pt>
                <c:pt idx="8">
                  <c:v>34.77148711771499</c:v>
                </c:pt>
                <c:pt idx="9">
                  <c:v>17.534794166870796</c:v>
                </c:pt>
                <c:pt idx="10">
                  <c:v>8.6445960376944324</c:v>
                </c:pt>
                <c:pt idx="11">
                  <c:v>5.9271303154154777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1B-496D-9918-BDBDBBDB8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878912"/>
        <c:axId val="287873424"/>
      </c:scatterChart>
      <c:valAx>
        <c:axId val="287878912"/>
        <c:scaling>
          <c:orientation val="minMax"/>
          <c:max val="12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067653494814302"/>
              <c:y val="0.87868852459016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873424"/>
        <c:crosses val="autoZero"/>
        <c:crossBetween val="midCat"/>
        <c:majorUnit val="1"/>
      </c:valAx>
      <c:valAx>
        <c:axId val="28787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Flow, m</a:t>
                </a:r>
                <a:r>
                  <a:rPr lang="en-US" sz="87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en-US" sz="8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/s</a:t>
                </a:r>
              </a:p>
            </c:rich>
          </c:tx>
          <c:layout>
            <c:manualLayout>
              <c:xMode val="edge"/>
              <c:yMode val="edge"/>
              <c:x val="2.8469870827347504E-2"/>
              <c:y val="0.3934426229508196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7878912"/>
        <c:crosses val="autoZero"/>
        <c:crossBetween val="midCat"/>
      </c:valAx>
      <c:spPr>
        <a:solidFill>
          <a:srgbClr val="CC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C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714935</xdr:colOff>
      <xdr:row>27</xdr:row>
      <xdr:rowOff>22972</xdr:rowOff>
    </xdr:from>
    <xdr:to>
      <xdr:col>9</xdr:col>
      <xdr:colOff>607919</xdr:colOff>
      <xdr:row>44</xdr:row>
      <xdr:rowOff>41462</xdr:rowOff>
    </xdr:to>
    <xdr:graphicFrame macro="">
      <xdr:nvGraphicFramePr>
        <xdr:cNvPr id="2423" name="Chart 5">
          <a:extLst>
            <a:ext uri="{FF2B5EF4-FFF2-40B4-BE49-F238E27FC236}">
              <a16:creationId xmlns:a16="http://schemas.microsoft.com/office/drawing/2014/main" id="{00000000-0008-0000-0100-000077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64994</xdr:colOff>
      <xdr:row>46</xdr:row>
      <xdr:rowOff>1121</xdr:rowOff>
    </xdr:from>
    <xdr:to>
      <xdr:col>9</xdr:col>
      <xdr:colOff>641537</xdr:colOff>
      <xdr:row>58</xdr:row>
      <xdr:rowOff>115420</xdr:rowOff>
    </xdr:to>
    <xdr:graphicFrame macro="">
      <xdr:nvGraphicFramePr>
        <xdr:cNvPr id="2424" name="Chart 7">
          <a:extLst>
            <a:ext uri="{FF2B5EF4-FFF2-40B4-BE49-F238E27FC236}">
              <a16:creationId xmlns:a16="http://schemas.microsoft.com/office/drawing/2014/main" id="{00000000-0008-0000-0100-000078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45</xdr:row>
      <xdr:rowOff>19050</xdr:rowOff>
    </xdr:from>
    <xdr:to>
      <xdr:col>9</xdr:col>
      <xdr:colOff>581025</xdr:colOff>
      <xdr:row>64</xdr:row>
      <xdr:rowOff>133350</xdr:rowOff>
    </xdr:to>
    <xdr:graphicFrame macro="">
      <xdr:nvGraphicFramePr>
        <xdr:cNvPr id="1395" name="Chart 1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24</xdr:row>
      <xdr:rowOff>66675</xdr:rowOff>
    </xdr:from>
    <xdr:to>
      <xdr:col>9</xdr:col>
      <xdr:colOff>600075</xdr:colOff>
      <xdr:row>44</xdr:row>
      <xdr:rowOff>114300</xdr:rowOff>
    </xdr:to>
    <xdr:graphicFrame macro="">
      <xdr:nvGraphicFramePr>
        <xdr:cNvPr id="1396" name="Chart 2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94218</xdr:colOff>
      <xdr:row>3</xdr:row>
      <xdr:rowOff>133350</xdr:rowOff>
    </xdr:from>
    <xdr:to>
      <xdr:col>26</xdr:col>
      <xdr:colOff>172287</xdr:colOff>
      <xdr:row>22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29443" y="847725"/>
          <a:ext cx="4954869" cy="36099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47</xdr:row>
      <xdr:rowOff>19050</xdr:rowOff>
    </xdr:from>
    <xdr:to>
      <xdr:col>9</xdr:col>
      <xdr:colOff>0</xdr:colOff>
      <xdr:row>67</xdr:row>
      <xdr:rowOff>47625</xdr:rowOff>
    </xdr:to>
    <xdr:graphicFrame macro="">
      <xdr:nvGraphicFramePr>
        <xdr:cNvPr id="394419" name="Chart 1">
          <a:extLst>
            <a:ext uri="{FF2B5EF4-FFF2-40B4-BE49-F238E27FC236}">
              <a16:creationId xmlns:a16="http://schemas.microsoft.com/office/drawing/2014/main" id="{00000000-0008-0000-0400-0000B304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26</xdr:row>
      <xdr:rowOff>66675</xdr:rowOff>
    </xdr:from>
    <xdr:to>
      <xdr:col>8</xdr:col>
      <xdr:colOff>447675</xdr:colOff>
      <xdr:row>46</xdr:row>
      <xdr:rowOff>114300</xdr:rowOff>
    </xdr:to>
    <xdr:graphicFrame macro="">
      <xdr:nvGraphicFramePr>
        <xdr:cNvPr id="394420" name="Chart 2">
          <a:extLst>
            <a:ext uri="{FF2B5EF4-FFF2-40B4-BE49-F238E27FC236}">
              <a16:creationId xmlns:a16="http://schemas.microsoft.com/office/drawing/2014/main" id="{00000000-0008-0000-0400-0000B4040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jects\MM\MMHEP%20All\MMHEP%20Hydrology(All%20methods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uz\KG-Tinau%20Diversion%20Project\Hydrology\Emperical%20Methods\MHSP-METHOD_Sankhuw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v. zone"/>
      <sheetName val="Ref. Wetness Index(MM)"/>
      <sheetName val="Hydest"/>
      <sheetName val="WECS"/>
      <sheetName val="MHSP"/>
      <sheetName val="Compiled"/>
      <sheetName val="CAR Bimalnagar"/>
      <sheetName val="MCAR"/>
      <sheetName val="Regional"/>
      <sheetName val="DailyFlow"/>
    </sheetNames>
    <sheetDataSet>
      <sheetData sheetId="0"/>
      <sheetData sheetId="1"/>
      <sheetData sheetId="2">
        <row r="7">
          <cell r="B7">
            <v>1624.56</v>
          </cell>
          <cell r="F7">
            <v>399.52971881617179</v>
          </cell>
        </row>
        <row r="8">
          <cell r="B8">
            <v>724.47</v>
          </cell>
          <cell r="F8">
            <v>11.67</v>
          </cell>
        </row>
        <row r="12">
          <cell r="B12">
            <v>17.456756530580087</v>
          </cell>
        </row>
        <row r="17">
          <cell r="B17">
            <v>94.384986224572486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-results"/>
      <sheetName val="equations"/>
      <sheetName val="HYDROGRAPH"/>
    </sheetNames>
    <sheetDataSet>
      <sheetData sheetId="0">
        <row r="17">
          <cell r="B17">
            <v>2.0392602667988031</v>
          </cell>
        </row>
        <row r="18">
          <cell r="B18">
            <v>2.485436984549255</v>
          </cell>
        </row>
        <row r="19">
          <cell r="B19">
            <v>2.8315124973843138</v>
          </cell>
        </row>
        <row r="20">
          <cell r="B20">
            <v>8.7398709904191865</v>
          </cell>
        </row>
        <row r="21">
          <cell r="B21">
            <v>25.413589966377316</v>
          </cell>
        </row>
        <row r="22">
          <cell r="B22">
            <v>30.45827526139448</v>
          </cell>
        </row>
        <row r="23">
          <cell r="B23">
            <v>23.775112252600383</v>
          </cell>
        </row>
        <row r="24">
          <cell r="B24">
            <v>11.212901396579072</v>
          </cell>
        </row>
        <row r="25">
          <cell r="B25">
            <v>5.4149116385490847</v>
          </cell>
        </row>
        <row r="26">
          <cell r="B26">
            <v>3.5043335490893193</v>
          </cell>
        </row>
        <row r="27">
          <cell r="B27">
            <v>10.067237253779462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workbookViewId="0">
      <selection activeCell="E3" sqref="E3"/>
    </sheetView>
  </sheetViews>
  <sheetFormatPr defaultRowHeight="17.25" x14ac:dyDescent="0.35"/>
  <cols>
    <col min="1" max="1" width="9.140625" style="127"/>
    <col min="2" max="2" width="24.28515625" style="127" customWidth="1"/>
    <col min="3" max="3" width="8.28515625" style="127" customWidth="1"/>
    <col min="4" max="9" width="12.5703125" style="127" customWidth="1"/>
    <col min="10" max="10" width="19" style="127" customWidth="1"/>
    <col min="11" max="11" width="14.85546875" style="127" customWidth="1"/>
    <col min="12" max="12" width="13.28515625" style="127" customWidth="1"/>
    <col min="13" max="13" width="14.140625" style="127" hidden="1" customWidth="1"/>
    <col min="14" max="16384" width="9.140625" style="127"/>
  </cols>
  <sheetData>
    <row r="1" spans="1:13" ht="59.25" customHeight="1" x14ac:dyDescent="0.35">
      <c r="A1" s="137" t="s">
        <v>99</v>
      </c>
      <c r="B1" s="138" t="s">
        <v>100</v>
      </c>
      <c r="C1" s="139" t="s">
        <v>101</v>
      </c>
      <c r="D1" s="139" t="s">
        <v>102</v>
      </c>
      <c r="E1" s="139" t="s">
        <v>106</v>
      </c>
      <c r="F1" s="139" t="s">
        <v>103</v>
      </c>
      <c r="G1" s="139" t="s">
        <v>104</v>
      </c>
      <c r="H1" s="139" t="s">
        <v>105</v>
      </c>
      <c r="I1" s="126"/>
      <c r="J1" s="126"/>
      <c r="K1" s="126"/>
      <c r="L1" s="126"/>
      <c r="M1" s="126"/>
    </row>
    <row r="2" spans="1:13" x14ac:dyDescent="0.35">
      <c r="A2" s="125">
        <v>1</v>
      </c>
      <c r="B2" s="140" t="s">
        <v>107</v>
      </c>
      <c r="C2" s="124" t="s">
        <v>95</v>
      </c>
      <c r="D2" s="141">
        <v>160.79</v>
      </c>
      <c r="E2" s="142">
        <f>1-F2-G2</f>
        <v>0.10019279805958081</v>
      </c>
      <c r="F2" s="143">
        <f>99.17/D2</f>
        <v>0.6167672118912868</v>
      </c>
      <c r="G2" s="143">
        <f>45.51/D2</f>
        <v>0.28303999004913238</v>
      </c>
      <c r="H2" s="144">
        <v>115.28</v>
      </c>
      <c r="I2" s="130"/>
      <c r="J2" s="129"/>
      <c r="K2" s="129"/>
      <c r="L2" s="128"/>
      <c r="M2" s="131"/>
    </row>
    <row r="3" spans="1:13" x14ac:dyDescent="0.35">
      <c r="A3" s="125">
        <v>2</v>
      </c>
      <c r="B3" s="140" t="s">
        <v>108</v>
      </c>
      <c r="C3" s="124" t="s">
        <v>95</v>
      </c>
      <c r="D3" s="141">
        <v>27542.558891000001</v>
      </c>
      <c r="E3" s="142">
        <f>701.04/D3</f>
        <v>2.5452972716673638E-2</v>
      </c>
      <c r="F3" s="143">
        <f>16099.27/D3</f>
        <v>0.58452339391241936</v>
      </c>
      <c r="G3" s="143">
        <f>10742.45/D3</f>
        <v>0.39003093512528636</v>
      </c>
      <c r="H3" s="144">
        <f>701.04+16099.27</f>
        <v>16800.310000000001</v>
      </c>
      <c r="I3" s="132"/>
      <c r="J3" s="132"/>
      <c r="K3" s="132"/>
      <c r="L3" s="128"/>
      <c r="M3" s="131"/>
    </row>
    <row r="4" spans="1:13" x14ac:dyDescent="0.35">
      <c r="A4" s="125">
        <v>3</v>
      </c>
      <c r="B4" s="30" t="s">
        <v>109</v>
      </c>
      <c r="C4" s="124">
        <v>600.1</v>
      </c>
      <c r="D4" s="144">
        <v>27090.762891999999</v>
      </c>
      <c r="E4" s="145">
        <f>438.45/D4</f>
        <v>1.6184483314402191E-2</v>
      </c>
      <c r="F4" s="145">
        <f>15957.75/D4</f>
        <v>0.58904764194412484</v>
      </c>
      <c r="G4" s="145">
        <f>10694.56/D4</f>
        <v>0.39476776798921903</v>
      </c>
      <c r="H4" s="144">
        <v>16396.2</v>
      </c>
      <c r="I4" s="132"/>
      <c r="J4" s="132"/>
      <c r="K4" s="132"/>
      <c r="L4" s="128"/>
      <c r="M4" s="131"/>
    </row>
    <row r="5" spans="1:13" x14ac:dyDescent="0.35">
      <c r="A5" s="125">
        <v>4</v>
      </c>
      <c r="B5" s="140" t="s">
        <v>110</v>
      </c>
      <c r="C5" s="124">
        <v>602</v>
      </c>
      <c r="D5" s="30">
        <v>391.36</v>
      </c>
      <c r="E5" s="142">
        <f>361.15/D5</f>
        <v>0.92280764513491409</v>
      </c>
      <c r="F5" s="143">
        <f>30.2/D5</f>
        <v>7.7166802943581358E-2</v>
      </c>
      <c r="G5" s="143">
        <v>0</v>
      </c>
      <c r="H5" s="30">
        <v>391.36</v>
      </c>
      <c r="I5" s="132"/>
      <c r="J5" s="132"/>
      <c r="K5" s="132"/>
      <c r="L5" s="128"/>
      <c r="M5" s="131"/>
    </row>
    <row r="6" spans="1:13" x14ac:dyDescent="0.35">
      <c r="A6" s="125">
        <v>5</v>
      </c>
      <c r="B6" s="30" t="s">
        <v>111</v>
      </c>
      <c r="C6" s="124">
        <v>602.5</v>
      </c>
      <c r="D6" s="144">
        <v>148.13999999999999</v>
      </c>
      <c r="E6" s="146">
        <f>142.26/D6</f>
        <v>0.96030781692993117</v>
      </c>
      <c r="F6" s="146">
        <f>5.88/D6</f>
        <v>3.9692183070068859E-2</v>
      </c>
      <c r="G6" s="146">
        <v>0</v>
      </c>
      <c r="H6" s="144">
        <v>148.13999999999999</v>
      </c>
      <c r="I6" s="132"/>
      <c r="J6" s="132"/>
      <c r="K6" s="132"/>
      <c r="L6" s="128"/>
      <c r="M6" s="131"/>
    </row>
    <row r="7" spans="1:13" x14ac:dyDescent="0.35">
      <c r="A7" s="125">
        <v>6</v>
      </c>
      <c r="B7" s="30" t="s">
        <v>112</v>
      </c>
      <c r="C7" s="124">
        <v>604.5</v>
      </c>
      <c r="D7" s="144">
        <v>28601.893849</v>
      </c>
      <c r="E7" s="145">
        <f>1467.3/D7</f>
        <v>5.1300798742433651E-2</v>
      </c>
      <c r="F7" s="145">
        <f>16382.4/D7</f>
        <v>0.57277326062703271</v>
      </c>
      <c r="G7" s="146">
        <f>10752.2/D7</f>
        <v>0.37592615568622312</v>
      </c>
      <c r="H7" s="144">
        <v>17849.7</v>
      </c>
      <c r="I7" s="132"/>
      <c r="J7" s="132"/>
      <c r="K7" s="132"/>
      <c r="L7" s="128"/>
      <c r="M7" s="131"/>
    </row>
    <row r="8" spans="1:13" x14ac:dyDescent="0.35">
      <c r="A8" s="133"/>
      <c r="I8" s="132"/>
      <c r="J8" s="132"/>
      <c r="K8" s="132"/>
    </row>
    <row r="10" spans="1:13" x14ac:dyDescent="0.35">
      <c r="A10" s="134"/>
    </row>
    <row r="12" spans="1:13" x14ac:dyDescent="0.35">
      <c r="A12" s="135"/>
      <c r="B12" s="1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O57"/>
  <sheetViews>
    <sheetView zoomScale="85" zoomScaleNormal="85" zoomScaleSheetLayoutView="80" workbookViewId="0">
      <selection activeCell="B13" sqref="B13:B23"/>
    </sheetView>
  </sheetViews>
  <sheetFormatPr defaultRowHeight="17.25" x14ac:dyDescent="0.35"/>
  <cols>
    <col min="1" max="1" width="18.5703125" style="32" customWidth="1"/>
    <col min="2" max="2" width="15.7109375" style="32" customWidth="1"/>
    <col min="3" max="3" width="11.42578125" style="32" customWidth="1"/>
    <col min="4" max="4" width="10.28515625" style="32" customWidth="1"/>
    <col min="5" max="5" width="12.85546875" style="32" customWidth="1"/>
    <col min="6" max="7" width="12.28515625" style="32" bestFit="1" customWidth="1"/>
    <col min="8" max="8" width="11.85546875" style="32" customWidth="1"/>
    <col min="9" max="9" width="9.7109375" style="32" bestFit="1" customWidth="1"/>
    <col min="10" max="10" width="11.5703125" style="32" bestFit="1" customWidth="1"/>
    <col min="11" max="11" width="10.5703125" style="32" bestFit="1" customWidth="1"/>
    <col min="12" max="12" width="9.28515625" style="32" bestFit="1" customWidth="1"/>
    <col min="13" max="13" width="10.5703125" style="32" bestFit="1" customWidth="1"/>
    <col min="14" max="14" width="9.28515625" style="32" bestFit="1" customWidth="1"/>
    <col min="15" max="16384" width="9.140625" style="32"/>
  </cols>
  <sheetData>
    <row r="1" spans="1:11" x14ac:dyDescent="0.35">
      <c r="A1" s="149"/>
      <c r="B1" s="149"/>
      <c r="C1" s="149"/>
      <c r="D1" s="149"/>
      <c r="E1" s="149"/>
      <c r="F1" s="149"/>
      <c r="G1" s="149"/>
      <c r="H1" s="149"/>
      <c r="I1" s="149"/>
      <c r="J1" s="44"/>
      <c r="K1" s="44"/>
    </row>
    <row r="2" spans="1:11" ht="21.75" x14ac:dyDescent="0.45">
      <c r="A2" s="150" t="s">
        <v>5</v>
      </c>
      <c r="B2" s="150"/>
      <c r="C2" s="150"/>
      <c r="D2" s="150"/>
      <c r="E2" s="150"/>
      <c r="F2" s="150"/>
      <c r="G2" s="150"/>
      <c r="H2" s="150"/>
      <c r="I2" s="150"/>
      <c r="J2" s="149"/>
      <c r="K2" s="149"/>
    </row>
    <row r="3" spans="1:11" x14ac:dyDescent="0.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11" x14ac:dyDescent="0.35">
      <c r="A4" s="45" t="s">
        <v>6</v>
      </c>
      <c r="B4" s="32" t="s">
        <v>114</v>
      </c>
      <c r="G4" s="46"/>
      <c r="I4" s="45"/>
    </row>
    <row r="5" spans="1:11" x14ac:dyDescent="0.35">
      <c r="A5" s="45" t="s">
        <v>8</v>
      </c>
      <c r="B5" s="32" t="s">
        <v>79</v>
      </c>
      <c r="G5" s="46"/>
      <c r="I5" s="47"/>
    </row>
    <row r="6" spans="1:11" x14ac:dyDescent="0.35">
      <c r="G6" s="46"/>
      <c r="H6" s="47"/>
      <c r="I6" s="48"/>
    </row>
    <row r="7" spans="1:11" x14ac:dyDescent="0.35">
      <c r="A7" s="30" t="s">
        <v>0</v>
      </c>
      <c r="B7" s="31" t="s">
        <v>113</v>
      </c>
    </row>
    <row r="8" spans="1:11" ht="18.75" x14ac:dyDescent="0.35">
      <c r="A8" s="30" t="s">
        <v>1</v>
      </c>
      <c r="B8" s="119">
        <f>station_details!D4</f>
        <v>217.89184</v>
      </c>
      <c r="C8" s="32" t="s">
        <v>81</v>
      </c>
      <c r="F8" s="33" t="s">
        <v>2</v>
      </c>
      <c r="G8" s="34"/>
      <c r="H8" s="35">
        <v>2500</v>
      </c>
    </row>
    <row r="9" spans="1:11" ht="18.75" x14ac:dyDescent="0.35">
      <c r="A9" s="30" t="s">
        <v>3</v>
      </c>
      <c r="B9" s="120">
        <f>station_details!H4</f>
        <v>209.73</v>
      </c>
      <c r="C9" s="32" t="s">
        <v>81</v>
      </c>
      <c r="F9" s="30" t="s">
        <v>4</v>
      </c>
      <c r="H9" s="120">
        <v>70.31</v>
      </c>
      <c r="I9" s="32" t="s">
        <v>81</v>
      </c>
    </row>
    <row r="10" spans="1:11" ht="15.95" customHeight="1" x14ac:dyDescent="0.35">
      <c r="A10" s="153" t="s">
        <v>55</v>
      </c>
      <c r="B10" s="153"/>
      <c r="C10" s="153"/>
      <c r="D10" s="153"/>
      <c r="E10" s="153"/>
      <c r="F10" s="153"/>
      <c r="G10" s="153"/>
      <c r="H10" s="153"/>
      <c r="I10" s="153"/>
    </row>
    <row r="11" spans="1:11" ht="15.95" customHeight="1" x14ac:dyDescent="0.35">
      <c r="A11" s="151" t="s">
        <v>82</v>
      </c>
      <c r="B11" s="151"/>
      <c r="C11" s="151"/>
      <c r="D11" s="36"/>
      <c r="E11" s="152" t="s">
        <v>15</v>
      </c>
      <c r="F11" s="152"/>
      <c r="G11" s="152"/>
      <c r="H11" s="152"/>
    </row>
    <row r="12" spans="1:11" ht="15.95" customHeight="1" x14ac:dyDescent="0.35">
      <c r="A12" s="37" t="s">
        <v>16</v>
      </c>
      <c r="B12" s="37" t="s">
        <v>78</v>
      </c>
      <c r="C12" s="37" t="s">
        <v>59</v>
      </c>
      <c r="E12" s="30" t="s">
        <v>16</v>
      </c>
      <c r="F12" s="30" t="s">
        <v>17</v>
      </c>
      <c r="G12" s="154" t="s">
        <v>83</v>
      </c>
      <c r="H12" s="154"/>
    </row>
    <row r="13" spans="1:11" ht="15.95" customHeight="1" x14ac:dyDescent="0.35">
      <c r="A13" s="38">
        <v>2</v>
      </c>
      <c r="B13" s="39">
        <f>1.8767*(H9+1)^0.8783</f>
        <v>79.61903001210807</v>
      </c>
      <c r="C13" s="39">
        <f>0.8154*(Area3000+1)^0.9527</f>
        <v>47.51898197216935</v>
      </c>
      <c r="E13" s="40">
        <v>2</v>
      </c>
      <c r="F13" s="30">
        <v>1</v>
      </c>
      <c r="G13" s="155">
        <f>IF((-0.03205+0.08828*((Area5000+1)^0.5))&lt;0,0,((-0.03205+0.08828*((Area5000+1)^0.5)))^2)</f>
        <v>1.5611761634927264</v>
      </c>
      <c r="H13" s="156"/>
    </row>
    <row r="14" spans="1:11" ht="15.95" customHeight="1" x14ac:dyDescent="0.35">
      <c r="A14" s="38">
        <v>5</v>
      </c>
      <c r="B14" s="39">
        <f>EXP(LN(Return2D)+((0.842*LN(Return100D/Return2D))/2.326))</f>
        <v>134.0278521184145</v>
      </c>
      <c r="C14" s="39">
        <f>EXP(LN($C$13)+0.842*(LN($C$18/$C$13)/2.326))</f>
        <v>72.455370886287767</v>
      </c>
      <c r="E14" s="40"/>
      <c r="F14" s="30">
        <v>7</v>
      </c>
      <c r="G14" s="155">
        <f>IF((-0.0212+0.08985*((Area5000+1)^0.5))&lt;0,0,((-0.0212+0.08985*((Area5000+1)^0.5)))^2)</f>
        <v>1.6463746712628502</v>
      </c>
      <c r="H14" s="156"/>
    </row>
    <row r="15" spans="1:11" ht="15.95" customHeight="1" x14ac:dyDescent="0.35">
      <c r="A15" s="38">
        <v>10</v>
      </c>
      <c r="B15" s="39">
        <f>EXP(LN(Return2D)+((1.282*LN(Return100D/Return2D))/2.326))</f>
        <v>175.949456069116</v>
      </c>
      <c r="C15" s="39">
        <f>EXP(LN(C$13)+1.282*(LN($C$18/$C$13)/2.326))</f>
        <v>90.324664388932177</v>
      </c>
      <c r="E15" s="40"/>
      <c r="F15" s="30">
        <v>30</v>
      </c>
      <c r="G15" s="155">
        <f>IF((0.0561+0.09185*((Area5000+1)^0.5))&lt;0,0,((0.0561+0.09185*((Area5000+1)^0.5)))^2)</f>
        <v>1.930555766132195</v>
      </c>
      <c r="H15" s="156"/>
    </row>
    <row r="16" spans="1:11" ht="15.95" customHeight="1" x14ac:dyDescent="0.35">
      <c r="A16" s="38">
        <v>20</v>
      </c>
      <c r="B16" s="39">
        <f>EXP(LN(Return2D)+((1.645*LN(Return100D/Return2D))/2.326))</f>
        <v>220.24043034979033</v>
      </c>
      <c r="C16" s="39">
        <f>EXP(LN($C$13)+1.645*(LN($C$18/$C$13)/2.326))</f>
        <v>108.33988470008103</v>
      </c>
      <c r="E16" s="40"/>
      <c r="F16" s="41" t="s">
        <v>18</v>
      </c>
      <c r="G16" s="155">
        <f>IF((0.09299+0.09269*((Area5000+1)^0.5))&lt;0,0,((0.09299+0.09269*((Area5000+1)^0.5)))^2)</f>
        <v>2.0693636833568241</v>
      </c>
      <c r="H16" s="156"/>
    </row>
    <row r="17" spans="1:15" ht="15.95" customHeight="1" x14ac:dyDescent="0.35">
      <c r="A17" s="38">
        <v>50</v>
      </c>
      <c r="B17" s="39">
        <f>EXP(LN(Return2D)+((2.054*LN(Return100D/Return2D))/2.326))</f>
        <v>283.63687562710169</v>
      </c>
      <c r="C17" s="39">
        <f>EXP(LN($C$13)+2.054*(LN($C$18/$C$13)/2.326))</f>
        <v>132.97779318884281</v>
      </c>
      <c r="E17" s="40">
        <v>10</v>
      </c>
      <c r="F17" s="30">
        <v>1</v>
      </c>
      <c r="G17" s="155">
        <f>IF((-0.20258+0.08162*((Area5000+1)^0.5))&lt;0,0,((-0.20258+0.08162*((Area5000+1)^0.5)))^2)</f>
        <v>0.96483506425578935</v>
      </c>
      <c r="H17" s="156"/>
    </row>
    <row r="18" spans="1:15" ht="15.95" customHeight="1" x14ac:dyDescent="0.35">
      <c r="A18" s="38">
        <v>100</v>
      </c>
      <c r="B18" s="39">
        <f>14.63*(H9+1)^0.7342</f>
        <v>335.60419172471455</v>
      </c>
      <c r="C18" s="39">
        <f>4.144*(Area3000+1)^0.8448</f>
        <v>152.39167249329606</v>
      </c>
      <c r="E18" s="40"/>
      <c r="F18" s="30">
        <v>7</v>
      </c>
      <c r="G18" s="155">
        <f>IF((-0.15688+0.08258*((Area5000+1)^0.5))&lt;0,0,((-0.15688+0.08258*((Area5000+1)^0.5)))^2)</f>
        <v>1.0855474043133682</v>
      </c>
      <c r="H18" s="156"/>
    </row>
    <row r="19" spans="1:15" ht="15.95" customHeight="1" x14ac:dyDescent="0.35">
      <c r="A19" s="38">
        <v>200</v>
      </c>
      <c r="B19" s="39">
        <f>EXP(LN($B$13)+2.576*(LN($B$18/$B$13)/2.326))</f>
        <v>391.72601703783471</v>
      </c>
      <c r="C19" s="39">
        <f>EXP(LN($C$13)+2.576*(LN($C$18/$C$13)/2.326))</f>
        <v>172.72554069030085</v>
      </c>
      <c r="E19" s="40"/>
      <c r="F19" s="30">
        <v>30</v>
      </c>
      <c r="G19" s="155">
        <f>IF((-0.05286+0.08419*((Area5000+1)^0.5))&lt;0,0,((-0.05286+0.08419*((Area5000+1)^0.5)))^2)</f>
        <v>1.3672337142134143</v>
      </c>
      <c r="H19" s="156"/>
    </row>
    <row r="20" spans="1:15" ht="15.95" customHeight="1" x14ac:dyDescent="0.35">
      <c r="A20" s="38">
        <v>500</v>
      </c>
      <c r="B20" s="39">
        <f>EXP(LN($B$13)+2.878*(LN($B$18/$B$13)/2.326))</f>
        <v>472.1779533277778</v>
      </c>
      <c r="C20" s="39">
        <f>EXP(LN($C$13)+2.878*(LN($C$18/$C$13)/2.326))</f>
        <v>200.93986860295229</v>
      </c>
      <c r="E20" s="40"/>
      <c r="F20" s="41" t="s">
        <v>18</v>
      </c>
      <c r="G20" s="155">
        <f>IF((-0.00749+0.0848*((Area5000+1)^0.5))&lt;0,0,((-0.00749+0.0848*((Area5000+1)^0.5)))^2)</f>
        <v>1.4969835375653531</v>
      </c>
      <c r="H20" s="156"/>
    </row>
    <row r="21" spans="1:15" ht="15.95" customHeight="1" x14ac:dyDescent="0.35">
      <c r="A21" s="38">
        <v>1000</v>
      </c>
      <c r="B21" s="39">
        <f>EXP(LN($B$13)+3.09*(LN($B$18/$B$13)/2.326))</f>
        <v>538.3356978452789</v>
      </c>
      <c r="C21" s="39">
        <f>EXP(LN($C$13)+3.09*(LN($C$18/$C$13)/2.326))</f>
        <v>223.45668407014159</v>
      </c>
      <c r="E21" s="40">
        <v>20</v>
      </c>
      <c r="F21" s="30">
        <v>1</v>
      </c>
      <c r="G21" s="155">
        <f>IF((-0.26037+0.08021*((Area5000+1)^0.5))&lt;0,0,((-0.26037+0.08021*((Area5000+1)^0.5)))^2)</f>
        <v>0.81721935731921114</v>
      </c>
      <c r="H21" s="156"/>
    </row>
    <row r="22" spans="1:15" ht="15.95" customHeight="1" x14ac:dyDescent="0.35">
      <c r="A22" s="38">
        <v>5000</v>
      </c>
      <c r="B22" s="39">
        <f>EXP(LN($B$13)+3.54*(LN($B$18/$B$13)/2.326))</f>
        <v>711.10257599196973</v>
      </c>
      <c r="C22" s="39">
        <f>EXP(LN($C$13)+3.54*(LN($C$18/$C$13)/2.326))</f>
        <v>279.9657699986829</v>
      </c>
      <c r="E22" s="40"/>
      <c r="F22" s="30">
        <v>7</v>
      </c>
      <c r="G22" s="155">
        <f>IF((-0.19129+0.08081*((Area5000+1)^0.5))&lt;0,0,((-0.19129+0.08081*((Area5000+1)^0.5)))^2)</f>
        <v>0.96391510378248357</v>
      </c>
      <c r="H22" s="156"/>
      <c r="K22" s="49"/>
      <c r="L22" s="49"/>
      <c r="M22" s="50"/>
    </row>
    <row r="23" spans="1:15" ht="15.95" customHeight="1" x14ac:dyDescent="0.35">
      <c r="A23" s="38">
        <v>10000</v>
      </c>
      <c r="B23" s="39">
        <f>EXP(LN($B$13)+3.719*(LN($B$18/$B$13)/2.326))</f>
        <v>794.3561471416341</v>
      </c>
      <c r="C23" s="39">
        <f>EXP(LN($C$13)+3.719*(LN($C$18/$C$13)/2.326))</f>
        <v>306.23299975532643</v>
      </c>
      <c r="E23" s="40"/>
      <c r="F23" s="30">
        <v>30</v>
      </c>
      <c r="G23" s="155">
        <f>IF((-0.07662+0.0823*((Area5000+1)^0.5))&lt;0,0,((-0.07662+0.0823*((Area5000+1)^0.5)))^2)</f>
        <v>1.2501284465201525</v>
      </c>
      <c r="H23" s="156"/>
    </row>
    <row r="24" spans="1:15" ht="15.95" customHeight="1" x14ac:dyDescent="0.35">
      <c r="A24" s="42"/>
      <c r="B24" s="43"/>
      <c r="C24" s="43"/>
      <c r="E24" s="40"/>
      <c r="F24" s="41" t="s">
        <v>18</v>
      </c>
      <c r="G24" s="155">
        <f>IF((-0.03059+0.08284*((Area5000+1)^0.5))&lt;0,0,((-0.03059+0.08284*((Area5000+1)^0.5)))^2)</f>
        <v>1.3734910927710986</v>
      </c>
      <c r="H24" s="156"/>
    </row>
    <row r="25" spans="1:15" ht="15.95" customHeight="1" x14ac:dyDescent="0.35">
      <c r="A25" s="49"/>
      <c r="B25" s="51"/>
      <c r="C25" s="51"/>
      <c r="E25" s="52"/>
      <c r="F25" s="53"/>
      <c r="G25" s="54"/>
      <c r="H25" s="54"/>
    </row>
    <row r="26" spans="1:15" x14ac:dyDescent="0.35">
      <c r="A26" s="153" t="s">
        <v>19</v>
      </c>
      <c r="B26" s="153"/>
      <c r="C26" s="153"/>
      <c r="D26" s="153"/>
      <c r="E26" s="153"/>
      <c r="F26" s="153"/>
      <c r="G26" s="153"/>
      <c r="H26" s="153"/>
      <c r="I26" s="153"/>
      <c r="K26" s="55"/>
      <c r="L26" s="55"/>
      <c r="M26" s="55"/>
      <c r="N26" s="55"/>
      <c r="O26" s="55"/>
    </row>
    <row r="27" spans="1:15" x14ac:dyDescent="0.35">
      <c r="A27" s="162" t="s">
        <v>20</v>
      </c>
      <c r="B27" s="162"/>
      <c r="C27" s="162"/>
      <c r="D27" s="56"/>
      <c r="E27" s="56"/>
      <c r="F27" s="56"/>
      <c r="K27" s="55"/>
      <c r="L27" s="55"/>
      <c r="M27" s="55"/>
      <c r="N27" s="55"/>
      <c r="O27" s="55"/>
    </row>
    <row r="28" spans="1:15" ht="19.5" x14ac:dyDescent="0.4">
      <c r="A28" s="57" t="s">
        <v>52</v>
      </c>
      <c r="B28" s="37" t="s">
        <v>84</v>
      </c>
      <c r="K28" s="58" t="s">
        <v>60</v>
      </c>
      <c r="L28" s="58" t="s">
        <v>85</v>
      </c>
      <c r="M28" s="58" t="s">
        <v>86</v>
      </c>
      <c r="N28" s="58" t="s">
        <v>87</v>
      </c>
      <c r="O28" s="55"/>
    </row>
    <row r="29" spans="1:15" ht="15.95" customHeight="1" x14ac:dyDescent="0.35">
      <c r="A29" s="59" t="s">
        <v>21</v>
      </c>
      <c r="B29" s="60">
        <f>K29*(Basin^L29)*((Area5000+1)^M29)*(MWI^N29)</f>
        <v>2.6614123586193146</v>
      </c>
      <c r="C29" s="61"/>
      <c r="D29" s="61"/>
      <c r="K29" s="62">
        <v>1.423E-2</v>
      </c>
      <c r="L29" s="49">
        <v>0</v>
      </c>
      <c r="M29" s="63">
        <v>0.97770000000000001</v>
      </c>
      <c r="N29" s="49">
        <v>0</v>
      </c>
      <c r="O29" s="55"/>
    </row>
    <row r="30" spans="1:15" ht="15.95" customHeight="1" x14ac:dyDescent="0.35">
      <c r="A30" s="59" t="s">
        <v>22</v>
      </c>
      <c r="B30" s="60">
        <f>K30*(Basin^L30)*((Area5000+1)^M30)*(MWI^N30)</f>
        <v>2.2664955764769563</v>
      </c>
      <c r="C30" s="61"/>
      <c r="D30" s="61"/>
      <c r="K30" s="62">
        <v>1.2189999999999999E-2</v>
      </c>
      <c r="L30" s="49">
        <v>0</v>
      </c>
      <c r="M30" s="63">
        <v>0.97660000000000002</v>
      </c>
      <c r="N30" s="49">
        <v>0</v>
      </c>
      <c r="O30" s="55"/>
    </row>
    <row r="31" spans="1:15" ht="15.95" customHeight="1" x14ac:dyDescent="0.35">
      <c r="A31" s="59" t="s">
        <v>23</v>
      </c>
      <c r="B31" s="60">
        <f>K31*(Basin^L31)*((Area5000+1)^M31)*(MWI^N31)</f>
        <v>2.0470173503650257</v>
      </c>
      <c r="C31" s="61"/>
      <c r="D31" s="61"/>
      <c r="K31" s="62">
        <v>9.9880000000000004E-3</v>
      </c>
      <c r="L31" s="49">
        <v>0</v>
      </c>
      <c r="M31" s="63">
        <v>0.99480000000000002</v>
      </c>
      <c r="N31" s="49">
        <v>0</v>
      </c>
      <c r="O31" s="55"/>
    </row>
    <row r="32" spans="1:15" ht="15.95" customHeight="1" x14ac:dyDescent="0.35">
      <c r="A32" s="59" t="s">
        <v>24</v>
      </c>
      <c r="B32" s="60">
        <f t="shared" ref="B32:B40" si="0">K32*(Basin^L32)*((Area5000+1)^M32)*(MWI^N32)</f>
        <v>2.1207266573195973</v>
      </c>
      <c r="C32" s="61"/>
      <c r="D32" s="61"/>
      <c r="K32" s="62">
        <v>7.9740000000000002E-3</v>
      </c>
      <c r="L32" s="49">
        <v>0</v>
      </c>
      <c r="M32" s="63">
        <v>1.0435000000000001</v>
      </c>
      <c r="N32" s="49">
        <v>0</v>
      </c>
      <c r="O32" s="55"/>
    </row>
    <row r="33" spans="1:14" ht="15.95" customHeight="1" x14ac:dyDescent="0.35">
      <c r="A33" s="59" t="s">
        <v>25</v>
      </c>
      <c r="B33" s="60">
        <f>K33*(Basin^L33)*((Area5000+1)^M33)*(MWI^N33)</f>
        <v>2.873628297271031</v>
      </c>
      <c r="C33" s="61"/>
      <c r="D33" s="61"/>
      <c r="K33" s="64">
        <v>8.4340000000000005E-3</v>
      </c>
      <c r="L33" s="65">
        <v>0</v>
      </c>
      <c r="M33" s="66">
        <v>1.0898000000000001</v>
      </c>
      <c r="N33" s="65">
        <v>0</v>
      </c>
    </row>
    <row r="34" spans="1:14" ht="15.95" customHeight="1" x14ac:dyDescent="0.35">
      <c r="A34" s="59" t="s">
        <v>26</v>
      </c>
      <c r="B34" s="60">
        <f>K34*(Basin^L34)*((Area5000+1)^M34)*(MWI^N34)</f>
        <v>11.45956421975092</v>
      </c>
      <c r="C34" s="67"/>
      <c r="D34" s="67"/>
      <c r="K34" s="64">
        <v>6.9430000000000004E-3</v>
      </c>
      <c r="L34" s="65">
        <v>0.99680000000000002</v>
      </c>
      <c r="M34" s="65">
        <v>0</v>
      </c>
      <c r="N34" s="66">
        <v>0.26100000000000001</v>
      </c>
    </row>
    <row r="35" spans="1:14" ht="15.95" customHeight="1" x14ac:dyDescent="0.35">
      <c r="A35" s="59" t="s">
        <v>27</v>
      </c>
      <c r="B35" s="60">
        <f>K35*(Basin^L35)*((Area5000+1)^M35)*(MWI^N35)</f>
        <v>33.852229829461621</v>
      </c>
      <c r="C35" s="61"/>
      <c r="D35" s="61"/>
      <c r="K35" s="64">
        <v>2.1229999999999999E-2</v>
      </c>
      <c r="L35" s="65">
        <v>0</v>
      </c>
      <c r="M35" s="64">
        <v>1.0093000000000001</v>
      </c>
      <c r="N35" s="66">
        <v>0.25230000000000002</v>
      </c>
    </row>
    <row r="36" spans="1:14" ht="15.95" customHeight="1" x14ac:dyDescent="0.35">
      <c r="A36" s="59" t="s">
        <v>28</v>
      </c>
      <c r="B36" s="60">
        <f t="shared" si="0"/>
        <v>40.887286136279357</v>
      </c>
      <c r="C36" s="61"/>
      <c r="D36" s="61"/>
      <c r="K36" s="64">
        <v>2.5479999999999999E-2</v>
      </c>
      <c r="L36" s="65">
        <v>0</v>
      </c>
      <c r="M36" s="64">
        <v>0.99629999999999996</v>
      </c>
      <c r="N36" s="66">
        <v>0.26200000000000001</v>
      </c>
    </row>
    <row r="37" spans="1:14" ht="15.95" customHeight="1" x14ac:dyDescent="0.35">
      <c r="A37" s="59" t="s">
        <v>29</v>
      </c>
      <c r="B37" s="60">
        <f t="shared" si="0"/>
        <v>31.736210258884618</v>
      </c>
      <c r="C37" s="61"/>
      <c r="D37" s="61"/>
      <c r="K37" s="64">
        <v>1.677E-2</v>
      </c>
      <c r="L37" s="65">
        <v>0</v>
      </c>
      <c r="M37" s="64">
        <v>0.98939999999999995</v>
      </c>
      <c r="N37" s="66">
        <v>0.2878</v>
      </c>
    </row>
    <row r="38" spans="1:14" ht="15.95" customHeight="1" x14ac:dyDescent="0.35">
      <c r="A38" s="59" t="s">
        <v>30</v>
      </c>
      <c r="B38" s="60">
        <f t="shared" si="0"/>
        <v>13.673823037617911</v>
      </c>
      <c r="C38" s="61"/>
      <c r="D38" s="61"/>
      <c r="K38" s="64">
        <v>9.724E-3</v>
      </c>
      <c r="L38" s="65">
        <v>0</v>
      </c>
      <c r="M38" s="64">
        <v>0.98799999999999999</v>
      </c>
      <c r="N38" s="66">
        <v>0.25080000000000002</v>
      </c>
    </row>
    <row r="39" spans="1:14" ht="15.95" customHeight="1" x14ac:dyDescent="0.35">
      <c r="A39" s="59" t="s">
        <v>31</v>
      </c>
      <c r="B39" s="60">
        <f t="shared" si="0"/>
        <v>6.6067467441726491</v>
      </c>
      <c r="C39" s="61"/>
      <c r="D39" s="61"/>
      <c r="K39" s="64">
        <v>1.7600000000000001E-3</v>
      </c>
      <c r="L39" s="65">
        <v>0.96050000000000002</v>
      </c>
      <c r="M39" s="65">
        <v>0</v>
      </c>
      <c r="N39" s="66">
        <v>0.39100000000000001</v>
      </c>
    </row>
    <row r="40" spans="1:14" ht="15.95" customHeight="1" x14ac:dyDescent="0.35">
      <c r="A40" s="59" t="s">
        <v>32</v>
      </c>
      <c r="B40" s="60">
        <f t="shared" si="0"/>
        <v>4.2375028203572507</v>
      </c>
      <c r="C40" s="61"/>
      <c r="D40" s="61"/>
      <c r="K40" s="64">
        <v>1.485E-3</v>
      </c>
      <c r="L40" s="65">
        <v>0.9536</v>
      </c>
      <c r="M40" s="65">
        <v>0</v>
      </c>
      <c r="N40" s="66">
        <v>0.36070000000000002</v>
      </c>
    </row>
    <row r="41" spans="1:14" ht="15.95" customHeight="1" x14ac:dyDescent="0.35">
      <c r="A41" s="68" t="s">
        <v>61</v>
      </c>
      <c r="B41" s="69">
        <f>AVERAGE(B29:B40)</f>
        <v>12.868553607214691</v>
      </c>
      <c r="C41" s="61"/>
      <c r="D41" s="61"/>
    </row>
    <row r="42" spans="1:14" ht="15.95" customHeight="1" x14ac:dyDescent="0.35">
      <c r="A42" s="70" t="s">
        <v>62</v>
      </c>
      <c r="B42" s="69">
        <f>MAX(B29:B40)</f>
        <v>40.887286136279357</v>
      </c>
      <c r="D42" s="71"/>
      <c r="E42" s="71"/>
    </row>
    <row r="43" spans="1:14" ht="15.95" customHeight="1" x14ac:dyDescent="0.35">
      <c r="A43" s="70" t="s">
        <v>63</v>
      </c>
      <c r="B43" s="69">
        <f>MIN(B29:B40)</f>
        <v>2.0470173503650257</v>
      </c>
    </row>
    <row r="46" spans="1:14" ht="15.95" customHeight="1" x14ac:dyDescent="0.35">
      <c r="A46" s="161" t="s">
        <v>56</v>
      </c>
      <c r="B46" s="161"/>
      <c r="C46" s="72"/>
    </row>
    <row r="47" spans="1:14" ht="15.95" customHeight="1" x14ac:dyDescent="0.35">
      <c r="A47" s="73" t="s">
        <v>57</v>
      </c>
      <c r="B47" s="34"/>
      <c r="C47" s="57" t="s">
        <v>58</v>
      </c>
    </row>
    <row r="48" spans="1:14" ht="15.95" customHeight="1" x14ac:dyDescent="0.35">
      <c r="A48" s="157">
        <v>0</v>
      </c>
      <c r="B48" s="158"/>
      <c r="C48" s="74">
        <f>EXP(-3.5346+0.9398*LN(Area5000+1)+0.3739*LN(MWI))</f>
        <v>83.036786424107987</v>
      </c>
    </row>
    <row r="49" spans="1:3" ht="15.95" customHeight="1" x14ac:dyDescent="0.35">
      <c r="A49" s="157">
        <v>5</v>
      </c>
      <c r="B49" s="158"/>
      <c r="C49" s="74">
        <f>EXP(-3.4978+0.9814*LN(Area5000+1)+0.267*LN(MWI))</f>
        <v>46.631544513477145</v>
      </c>
    </row>
    <row r="50" spans="1:3" ht="15.95" customHeight="1" x14ac:dyDescent="0.35">
      <c r="A50" s="157">
        <v>20</v>
      </c>
      <c r="B50" s="158"/>
      <c r="C50" s="74">
        <f>EXP(-5.4357+0.9824*LN(Basin+1)+0.4408*LN(MWI))</f>
        <v>27.299768986900389</v>
      </c>
    </row>
    <row r="51" spans="1:3" ht="15.95" customHeight="1" x14ac:dyDescent="0.35">
      <c r="A51" s="159">
        <v>40</v>
      </c>
      <c r="B51" s="160"/>
      <c r="C51" s="75">
        <f>EXP(-5.9543+1.007*LN(Basin)+0.3231*LN(MWI))</f>
        <v>7.354674154850346</v>
      </c>
    </row>
    <row r="52" spans="1:3" ht="15.95" customHeight="1" x14ac:dyDescent="0.35">
      <c r="A52" s="157">
        <v>50</v>
      </c>
      <c r="B52" s="158"/>
      <c r="C52" s="74">
        <f>AVERAGE(C51,C53)</f>
        <v>5.4768569365062163</v>
      </c>
    </row>
    <row r="53" spans="1:3" ht="15.95" customHeight="1" x14ac:dyDescent="0.35">
      <c r="A53" s="157">
        <v>60</v>
      </c>
      <c r="B53" s="158"/>
      <c r="C53" s="74">
        <f>EXP(-6.4846+1.004*LN(Basin)+0.3016*LN(MWI))</f>
        <v>3.5990397181620875</v>
      </c>
    </row>
    <row r="54" spans="1:3" ht="15.95" customHeight="1" x14ac:dyDescent="0.35">
      <c r="A54" s="157">
        <v>65</v>
      </c>
      <c r="B54" s="158"/>
      <c r="C54" s="74">
        <f>AVERAGE(AVERAGE(C53,C55),C53)</f>
        <v>3.2029316481904586</v>
      </c>
    </row>
    <row r="55" spans="1:3" ht="15.95" customHeight="1" x14ac:dyDescent="0.35">
      <c r="A55" s="157">
        <v>80</v>
      </c>
      <c r="B55" s="158"/>
      <c r="C55" s="74">
        <f>EXP(-4.8508+1.0375*LN(Area5000+1))</f>
        <v>2.0146074382755716</v>
      </c>
    </row>
    <row r="56" spans="1:3" ht="15.95" customHeight="1" x14ac:dyDescent="0.35">
      <c r="A56" s="157">
        <v>95</v>
      </c>
      <c r="B56" s="158"/>
      <c r="C56" s="74">
        <f>EXP(-5.4716+1.0776*LN(Area5000+1))</f>
        <v>1.3420288313715691</v>
      </c>
    </row>
    <row r="57" spans="1:3" ht="15.95" customHeight="1" x14ac:dyDescent="0.35">
      <c r="A57" s="157">
        <v>100</v>
      </c>
      <c r="B57" s="158"/>
      <c r="C57" s="74">
        <f>(-0.09892+0.08149*SQRT(Area5000+1))^2</f>
        <v>1.1751276124098495</v>
      </c>
    </row>
  </sheetData>
  <mergeCells count="32">
    <mergeCell ref="A46:B46"/>
    <mergeCell ref="A50:B50"/>
    <mergeCell ref="G15:H15"/>
    <mergeCell ref="G24:H24"/>
    <mergeCell ref="A26:I26"/>
    <mergeCell ref="G19:H19"/>
    <mergeCell ref="A27:C27"/>
    <mergeCell ref="G21:H21"/>
    <mergeCell ref="G22:H22"/>
    <mergeCell ref="G23:H23"/>
    <mergeCell ref="G12:H12"/>
    <mergeCell ref="G16:H16"/>
    <mergeCell ref="G17:H17"/>
    <mergeCell ref="G18:H18"/>
    <mergeCell ref="A57:B57"/>
    <mergeCell ref="A55:B55"/>
    <mergeCell ref="A56:B56"/>
    <mergeCell ref="G20:H20"/>
    <mergeCell ref="A48:B48"/>
    <mergeCell ref="A49:B49"/>
    <mergeCell ref="A51:B51"/>
    <mergeCell ref="A53:B53"/>
    <mergeCell ref="A54:B54"/>
    <mergeCell ref="A52:B52"/>
    <mergeCell ref="G13:H13"/>
    <mergeCell ref="G14:H14"/>
    <mergeCell ref="A1:I1"/>
    <mergeCell ref="A2:I2"/>
    <mergeCell ref="J2:K2"/>
    <mergeCell ref="A11:C11"/>
    <mergeCell ref="E11:H11"/>
    <mergeCell ref="A10:I10"/>
  </mergeCells>
  <phoneticPr fontId="0" type="noConversion"/>
  <pageMargins left="0.75" right="0.75" top="1" bottom="1" header="0.5" footer="0.5"/>
  <pageSetup paperSize="9" scale="75" orientation="portrait" r:id="rId1"/>
  <headerFooter alignWithMargins="0">
    <oddHeader>&amp;L&amp;"Gill Sans MT,Italic"&amp;9Department of Electricity Development&amp;R&amp;"Gill Sans MT,Italic"&amp;9Sankhuwa Khola I  Hydropower Project 
Feasibility Study Report (Draft)</oddHeader>
    <oddFooter>&amp;L&amp;"Gill Sans MT,Italic"&amp;9JV-ERMC and Hydro-Consult Engineering Limited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R57"/>
  <sheetViews>
    <sheetView showGridLines="0" tabSelected="1" topLeftCell="A4" zoomScaleNormal="100" zoomScaleSheetLayoutView="90" workbookViewId="0">
      <selection activeCell="C11" sqref="C11:D21"/>
    </sheetView>
  </sheetViews>
  <sheetFormatPr defaultRowHeight="17.25" x14ac:dyDescent="0.35"/>
  <cols>
    <col min="1" max="1" width="22.42578125" style="32" customWidth="1"/>
    <col min="2" max="2" width="15.140625" style="32" customWidth="1"/>
    <col min="3" max="3" width="7.140625" style="32" customWidth="1"/>
    <col min="4" max="4" width="21.42578125" style="32" bestFit="1" customWidth="1"/>
    <col min="5" max="5" width="15" style="32" customWidth="1"/>
    <col min="6" max="6" width="14.85546875" style="32" bestFit="1" customWidth="1"/>
    <col min="7" max="8" width="13.7109375" style="32" customWidth="1"/>
    <col min="9" max="9" width="9.140625" style="32"/>
    <col min="10" max="10" width="9.140625" style="55"/>
    <col min="11" max="11" width="9.140625" style="32"/>
    <col min="12" max="12" width="12" style="32" customWidth="1"/>
    <col min="13" max="13" width="12.85546875" style="32" customWidth="1"/>
    <col min="14" max="14" width="17.28515625" style="32" customWidth="1"/>
    <col min="15" max="15" width="14.140625" style="32" customWidth="1"/>
    <col min="16" max="16" width="13.5703125" style="32" customWidth="1"/>
    <col min="17" max="16384" width="9.140625" style="32"/>
  </cols>
  <sheetData>
    <row r="1" spans="1:18" ht="21.75" x14ac:dyDescent="0.45">
      <c r="A1" s="150" t="s">
        <v>5</v>
      </c>
      <c r="B1" s="150"/>
      <c r="C1" s="150"/>
      <c r="D1" s="150"/>
      <c r="E1" s="150"/>
      <c r="F1" s="150"/>
      <c r="G1" s="150"/>
      <c r="H1" s="150"/>
      <c r="I1" s="150"/>
      <c r="J1" s="76"/>
      <c r="K1" s="149"/>
      <c r="L1" s="149"/>
      <c r="M1" s="149"/>
      <c r="N1" s="149"/>
    </row>
    <row r="2" spans="1:18" x14ac:dyDescent="0.35">
      <c r="A2" s="45" t="s">
        <v>6</v>
      </c>
      <c r="B2" s="32" t="str">
        <f>HYDEST!B4</f>
        <v>Due Deligence Study of Isuwa Khola HPP</v>
      </c>
      <c r="E2" s="46"/>
    </row>
    <row r="3" spans="1:18" x14ac:dyDescent="0.35">
      <c r="A3" s="45" t="s">
        <v>8</v>
      </c>
      <c r="B3" s="32" t="s">
        <v>80</v>
      </c>
      <c r="E3" s="46"/>
    </row>
    <row r="5" spans="1:18" x14ac:dyDescent="0.35">
      <c r="A5" s="98" t="s">
        <v>0</v>
      </c>
      <c r="B5" s="114" t="str">
        <f>HYDEST!B7</f>
        <v>ISUWA</v>
      </c>
      <c r="C5" s="95"/>
      <c r="D5" s="115" t="s">
        <v>40</v>
      </c>
      <c r="E5" s="116">
        <v>3492.97</v>
      </c>
      <c r="F5" s="95" t="s">
        <v>41</v>
      </c>
    </row>
    <row r="6" spans="1:18" ht="18.75" x14ac:dyDescent="0.35">
      <c r="A6" s="98" t="s">
        <v>1</v>
      </c>
      <c r="B6" s="121">
        <f>Basin</f>
        <v>217.89184</v>
      </c>
      <c r="C6" s="95" t="s">
        <v>81</v>
      </c>
      <c r="D6" s="115" t="s">
        <v>67</v>
      </c>
      <c r="E6" s="123">
        <v>2500</v>
      </c>
      <c r="F6" s="95" t="s">
        <v>76</v>
      </c>
      <c r="N6" s="77"/>
      <c r="O6" s="77"/>
      <c r="P6" s="77"/>
    </row>
    <row r="7" spans="1:18" ht="18.75" x14ac:dyDescent="0.35">
      <c r="A7" s="117" t="s">
        <v>3</v>
      </c>
      <c r="B7" s="122">
        <f>Area5000</f>
        <v>209.73</v>
      </c>
      <c r="C7" s="95" t="s">
        <v>81</v>
      </c>
      <c r="D7" s="118" t="s">
        <v>4</v>
      </c>
      <c r="E7" s="122">
        <f>Area3000</f>
        <v>70.31</v>
      </c>
      <c r="F7" s="95" t="s">
        <v>81</v>
      </c>
    </row>
    <row r="8" spans="1:18" x14ac:dyDescent="0.35">
      <c r="A8" s="153" t="s">
        <v>55</v>
      </c>
      <c r="B8" s="153"/>
      <c r="C8" s="153"/>
      <c r="D8" s="153"/>
      <c r="E8" s="153"/>
      <c r="F8" s="153"/>
      <c r="G8" s="153"/>
      <c r="H8" s="153"/>
      <c r="I8" s="153"/>
      <c r="J8" s="153"/>
    </row>
    <row r="9" spans="1:18" x14ac:dyDescent="0.35">
      <c r="A9" s="152" t="s">
        <v>12</v>
      </c>
      <c r="B9" s="152"/>
      <c r="C9" s="152"/>
      <c r="D9" s="152"/>
      <c r="F9" s="152" t="s">
        <v>15</v>
      </c>
      <c r="G9" s="152"/>
      <c r="H9" s="174"/>
      <c r="I9" s="174"/>
      <c r="J9" s="78"/>
      <c r="L9" s="77" t="s">
        <v>12</v>
      </c>
      <c r="O9" s="77" t="s">
        <v>15</v>
      </c>
      <c r="P9" s="77"/>
      <c r="Q9" s="77"/>
      <c r="R9" s="77"/>
    </row>
    <row r="10" spans="1:18" ht="14.25" customHeight="1" x14ac:dyDescent="0.4">
      <c r="A10" s="166" t="s">
        <v>13</v>
      </c>
      <c r="B10" s="166"/>
      <c r="C10" s="166" t="s">
        <v>88</v>
      </c>
      <c r="D10" s="166"/>
      <c r="E10" s="79"/>
      <c r="F10" s="98" t="s">
        <v>16</v>
      </c>
      <c r="G10" s="98" t="s">
        <v>17</v>
      </c>
      <c r="H10" s="171" t="s">
        <v>83</v>
      </c>
      <c r="I10" s="172"/>
      <c r="J10" s="173"/>
      <c r="K10" s="80"/>
      <c r="L10" s="32" t="s">
        <v>14</v>
      </c>
      <c r="O10" s="32" t="s">
        <v>89</v>
      </c>
      <c r="P10" s="32" t="s">
        <v>90</v>
      </c>
    </row>
    <row r="11" spans="1:18" ht="14.25" customHeight="1" x14ac:dyDescent="0.35">
      <c r="A11" s="166">
        <v>2</v>
      </c>
      <c r="B11" s="166"/>
      <c r="C11" s="167">
        <f>2.29*$E$7^0.86</f>
        <v>88.770810795810661</v>
      </c>
      <c r="D11" s="167"/>
      <c r="E11" s="79"/>
      <c r="F11" s="166">
        <v>2</v>
      </c>
      <c r="G11" s="30">
        <v>1</v>
      </c>
      <c r="H11" s="168">
        <f t="shared" ref="H11:H22" si="0">(O11+P11*SQRT($B$7))^2</f>
        <v>1.9451538251134437</v>
      </c>
      <c r="I11" s="169"/>
      <c r="J11" s="170"/>
      <c r="K11" s="80"/>
      <c r="L11" s="32">
        <v>0</v>
      </c>
      <c r="O11" s="81">
        <v>0.21440000000000001</v>
      </c>
      <c r="P11" s="82">
        <v>8.1500000000000003E-2</v>
      </c>
    </row>
    <row r="12" spans="1:18" ht="14.25" customHeight="1" x14ac:dyDescent="0.35">
      <c r="A12" s="166">
        <v>5</v>
      </c>
      <c r="B12" s="166"/>
      <c r="C12" s="167">
        <f>EXP(LN($C$11)+L12*LN($C$16/$C$11)/2.326)</f>
        <v>158.77443711771983</v>
      </c>
      <c r="D12" s="167"/>
      <c r="E12" s="79"/>
      <c r="F12" s="166"/>
      <c r="G12" s="30">
        <v>7</v>
      </c>
      <c r="H12" s="168">
        <f t="shared" si="0"/>
        <v>2.0684503132333072</v>
      </c>
      <c r="I12" s="169"/>
      <c r="J12" s="170"/>
      <c r="K12" s="80"/>
      <c r="L12" s="32">
        <v>0.84199999999999997</v>
      </c>
      <c r="O12" s="81">
        <v>0.23619999999999999</v>
      </c>
      <c r="P12" s="82">
        <v>8.3000000000000004E-2</v>
      </c>
    </row>
    <row r="13" spans="1:18" ht="14.25" customHeight="1" x14ac:dyDescent="0.35">
      <c r="A13" s="166">
        <v>10</v>
      </c>
      <c r="B13" s="166"/>
      <c r="C13" s="167">
        <f>EXP(LN($C$11)+L13*LN($C$16/$C$11)/2.326)</f>
        <v>215.14623844563965</v>
      </c>
      <c r="D13" s="167"/>
      <c r="E13" s="79"/>
      <c r="F13" s="166"/>
      <c r="G13" s="30">
        <v>30</v>
      </c>
      <c r="H13" s="168">
        <f t="shared" si="0"/>
        <v>2.3696530440499952</v>
      </c>
      <c r="I13" s="169"/>
      <c r="J13" s="170"/>
      <c r="K13" s="80"/>
      <c r="L13" s="32">
        <v>1.282</v>
      </c>
      <c r="O13" s="81">
        <v>0.30259999999999998</v>
      </c>
      <c r="P13" s="82">
        <v>8.5400000000000004E-2</v>
      </c>
    </row>
    <row r="14" spans="1:18" ht="14.25" customHeight="1" x14ac:dyDescent="0.35">
      <c r="A14" s="166">
        <v>20</v>
      </c>
      <c r="B14" s="166"/>
      <c r="C14" s="167">
        <f>EXP(LN($C$11)+L14*LN($C$16/$C$11)/2.326)</f>
        <v>276.43633554842319</v>
      </c>
      <c r="D14" s="167"/>
      <c r="E14" s="79"/>
      <c r="F14" s="166"/>
      <c r="G14" s="30" t="s">
        <v>18</v>
      </c>
      <c r="H14" s="168">
        <f t="shared" si="0"/>
        <v>2.5127226397488593</v>
      </c>
      <c r="I14" s="169"/>
      <c r="J14" s="170"/>
      <c r="K14" s="80"/>
      <c r="L14" s="32">
        <v>1.645</v>
      </c>
      <c r="O14" s="81">
        <v>0.3397</v>
      </c>
      <c r="P14" s="82">
        <v>8.5999999999999993E-2</v>
      </c>
    </row>
    <row r="15" spans="1:18" ht="14.25" customHeight="1" x14ac:dyDescent="0.35">
      <c r="A15" s="166">
        <v>50</v>
      </c>
      <c r="B15" s="166"/>
      <c r="C15" s="167">
        <f>EXP(LN($C$11)+L15*LN($C$16/$C$11)/2.326)</f>
        <v>366.64992621886978</v>
      </c>
      <c r="D15" s="167"/>
      <c r="E15" s="79"/>
      <c r="F15" s="166">
        <v>10</v>
      </c>
      <c r="G15" s="30">
        <v>1</v>
      </c>
      <c r="H15" s="168">
        <f t="shared" si="0"/>
        <v>1.3033464980517386</v>
      </c>
      <c r="I15" s="169"/>
      <c r="J15" s="170"/>
      <c r="K15" s="80"/>
      <c r="L15" s="32">
        <v>2.0539999999999998</v>
      </c>
      <c r="O15" s="81">
        <v>8.5900000000000004E-2</v>
      </c>
      <c r="P15" s="82">
        <v>7.2900000000000006E-2</v>
      </c>
    </row>
    <row r="16" spans="1:18" ht="14.25" customHeight="1" x14ac:dyDescent="0.35">
      <c r="A16" s="175">
        <v>100</v>
      </c>
      <c r="B16" s="175"/>
      <c r="C16" s="178">
        <f>20.7*$E$7^0.72</f>
        <v>442.40767842083233</v>
      </c>
      <c r="D16" s="178"/>
      <c r="E16" s="79"/>
      <c r="F16" s="166"/>
      <c r="G16" s="30">
        <v>7</v>
      </c>
      <c r="H16" s="168">
        <f t="shared" si="0"/>
        <v>1.3812311980050935</v>
      </c>
      <c r="I16" s="169"/>
      <c r="J16" s="170"/>
      <c r="K16" s="80"/>
      <c r="L16" s="32">
        <v>2.3260000000000001</v>
      </c>
      <c r="O16" s="81">
        <v>9.1999999999999998E-2</v>
      </c>
      <c r="P16" s="82">
        <v>7.4800000000000005E-2</v>
      </c>
    </row>
    <row r="17" spans="1:16" ht="14.25" customHeight="1" x14ac:dyDescent="0.35">
      <c r="A17" s="166">
        <v>200</v>
      </c>
      <c r="B17" s="166"/>
      <c r="C17" s="167">
        <f>EXP(LN($C$11)+L17*LN($C$16/$C$11)/2.326)</f>
        <v>525.77030172049911</v>
      </c>
      <c r="D17" s="167"/>
      <c r="E17" s="79"/>
      <c r="F17" s="166"/>
      <c r="G17" s="30">
        <v>30</v>
      </c>
      <c r="H17" s="168">
        <f t="shared" si="0"/>
        <v>1.6641661323657047</v>
      </c>
      <c r="I17" s="169"/>
      <c r="J17" s="170"/>
      <c r="K17" s="80"/>
      <c r="L17" s="32">
        <v>2.5760000000000001</v>
      </c>
      <c r="O17" s="81">
        <v>0.1807</v>
      </c>
      <c r="P17" s="82">
        <v>7.6600000000000001E-2</v>
      </c>
    </row>
    <row r="18" spans="1:16" ht="14.25" customHeight="1" x14ac:dyDescent="0.35">
      <c r="A18" s="166">
        <v>500</v>
      </c>
      <c r="B18" s="166"/>
      <c r="C18" s="167">
        <f>EXP(LN($C$11)+L18*LN($C$16/$C$11)/2.326)</f>
        <v>647.68510963561596</v>
      </c>
      <c r="D18" s="167"/>
      <c r="E18" s="79"/>
      <c r="F18" s="166"/>
      <c r="G18" s="30" t="s">
        <v>18</v>
      </c>
      <c r="H18" s="168">
        <f t="shared" si="0"/>
        <v>1.7930706928708755</v>
      </c>
      <c r="I18" s="169"/>
      <c r="J18" s="170"/>
      <c r="K18" s="80"/>
      <c r="L18" s="32">
        <v>2.8780000000000001</v>
      </c>
      <c r="O18" s="81">
        <v>0.21379999999999999</v>
      </c>
      <c r="P18" s="82">
        <v>7.7700000000000005E-2</v>
      </c>
    </row>
    <row r="19" spans="1:16" ht="14.25" customHeight="1" x14ac:dyDescent="0.35">
      <c r="A19" s="166">
        <v>1000</v>
      </c>
      <c r="B19" s="166"/>
      <c r="C19" s="167">
        <f>EXP(LN($C$11)+L19*LN($C$16/$C$11)/2.326)</f>
        <v>749.79294869672253</v>
      </c>
      <c r="D19" s="167"/>
      <c r="E19" s="79"/>
      <c r="F19" s="166">
        <v>20</v>
      </c>
      <c r="G19" s="30">
        <v>1</v>
      </c>
      <c r="H19" s="168">
        <f t="shared" si="0"/>
        <v>1.1835017537384016</v>
      </c>
      <c r="I19" s="169"/>
      <c r="J19" s="170"/>
      <c r="K19" s="80"/>
      <c r="L19" s="32">
        <v>3.09</v>
      </c>
      <c r="O19" s="81">
        <v>6.9800000000000001E-2</v>
      </c>
      <c r="P19" s="82">
        <v>7.0300000000000001E-2</v>
      </c>
    </row>
    <row r="20" spans="1:16" ht="14.25" customHeight="1" x14ac:dyDescent="0.35">
      <c r="A20" s="166">
        <v>5000</v>
      </c>
      <c r="B20" s="166"/>
      <c r="C20" s="167">
        <f>EXP(LN($C$11)+L20*LN($C$16/$C$11)/2.326)</f>
        <v>1023.0419992609825</v>
      </c>
      <c r="D20" s="167"/>
      <c r="E20" s="79"/>
      <c r="F20" s="166"/>
      <c r="G20" s="30">
        <v>7</v>
      </c>
      <c r="H20" s="168">
        <f t="shared" si="0"/>
        <v>1.2490239506905394</v>
      </c>
      <c r="I20" s="169"/>
      <c r="J20" s="170"/>
      <c r="K20" s="80"/>
      <c r="L20" s="32">
        <v>3.54</v>
      </c>
      <c r="O20" s="81">
        <v>6.6199999999999995E-2</v>
      </c>
      <c r="P20" s="82">
        <v>7.2599999999999998E-2</v>
      </c>
    </row>
    <row r="21" spans="1:16" ht="14.25" customHeight="1" x14ac:dyDescent="0.35">
      <c r="A21" s="166">
        <v>10000</v>
      </c>
      <c r="B21" s="166"/>
      <c r="C21" s="167">
        <f>EXP(LN($C$11)+L21*LN($C$16/$C$11)/2.326)</f>
        <v>1157.6423716393067</v>
      </c>
      <c r="D21" s="167"/>
      <c r="E21" s="79"/>
      <c r="F21" s="166"/>
      <c r="G21" s="30">
        <v>30</v>
      </c>
      <c r="H21" s="168">
        <f t="shared" si="0"/>
        <v>1.5263828927907157</v>
      </c>
      <c r="I21" s="169"/>
      <c r="J21" s="170"/>
      <c r="K21" s="80"/>
      <c r="L21" s="32">
        <v>3.7189999999999999</v>
      </c>
      <c r="O21" s="81">
        <v>0.16089999999999999</v>
      </c>
      <c r="P21" s="82">
        <v>7.4200000000000002E-2</v>
      </c>
    </row>
    <row r="22" spans="1:16" ht="14.25" customHeight="1" x14ac:dyDescent="0.35">
      <c r="E22" s="79"/>
      <c r="F22" s="166"/>
      <c r="G22" s="30" t="s">
        <v>18</v>
      </c>
      <c r="H22" s="168">
        <f t="shared" si="0"/>
        <v>1.6549463032098952</v>
      </c>
      <c r="I22" s="169"/>
      <c r="J22" s="170"/>
      <c r="K22" s="80"/>
      <c r="O22" s="81">
        <v>0.19450000000000001</v>
      </c>
      <c r="P22" s="82">
        <v>7.5399999999999995E-2</v>
      </c>
    </row>
    <row r="23" spans="1:16" x14ac:dyDescent="0.35">
      <c r="A23" s="52"/>
      <c r="B23" s="55"/>
      <c r="C23" s="54"/>
      <c r="D23" s="54"/>
      <c r="L23" s="81"/>
      <c r="M23" s="82"/>
    </row>
    <row r="24" spans="1:16" x14ac:dyDescent="0.35">
      <c r="A24" s="153" t="s">
        <v>19</v>
      </c>
      <c r="B24" s="153"/>
      <c r="C24" s="153"/>
      <c r="D24" s="153"/>
      <c r="E24" s="153"/>
      <c r="F24" s="153"/>
      <c r="G24" s="153"/>
      <c r="H24" s="153"/>
      <c r="I24" s="153"/>
      <c r="J24" s="153"/>
      <c r="K24" s="78"/>
    </row>
    <row r="25" spans="1:16" ht="14.25" customHeight="1" x14ac:dyDescent="0.35"/>
    <row r="26" spans="1:16" ht="14.25" customHeight="1" x14ac:dyDescent="0.35">
      <c r="A26" s="162" t="s">
        <v>20</v>
      </c>
      <c r="B26" s="162"/>
      <c r="C26" s="162"/>
    </row>
    <row r="27" spans="1:16" ht="14.25" customHeight="1" x14ac:dyDescent="0.35">
      <c r="A27" s="110" t="s">
        <v>52</v>
      </c>
      <c r="B27" s="176" t="s">
        <v>91</v>
      </c>
      <c r="C27" s="177"/>
    </row>
    <row r="28" spans="1:16" ht="14.25" customHeight="1" x14ac:dyDescent="0.35">
      <c r="A28" s="98" t="s">
        <v>21</v>
      </c>
      <c r="B28" s="163">
        <f>EXP(L30+M30*LN($E$5)+N30*LN($E$6)+O30*LN($E$7))</f>
        <v>4.760066064191304</v>
      </c>
      <c r="C28" s="164"/>
      <c r="L28" s="32" t="s">
        <v>37</v>
      </c>
      <c r="M28" s="32" t="s">
        <v>38</v>
      </c>
      <c r="N28" s="32" t="s">
        <v>39</v>
      </c>
      <c r="O28" s="32" t="s">
        <v>42</v>
      </c>
      <c r="P28" s="32" t="s">
        <v>43</v>
      </c>
    </row>
    <row r="29" spans="1:16" ht="14.25" customHeight="1" x14ac:dyDescent="0.35">
      <c r="A29" s="98" t="s">
        <v>22</v>
      </c>
      <c r="B29" s="163">
        <f>EXP(L31+M31*LN($E$5)+N31*LN($E$6)+O31*LN($E$7))</f>
        <v>4.1153252791227652</v>
      </c>
      <c r="C29" s="164"/>
      <c r="L29" s="80" t="s">
        <v>33</v>
      </c>
      <c r="M29" s="80" t="s">
        <v>34</v>
      </c>
      <c r="N29" s="80" t="s">
        <v>35</v>
      </c>
      <c r="O29" s="80" t="s">
        <v>36</v>
      </c>
      <c r="P29" s="80" t="s">
        <v>44</v>
      </c>
    </row>
    <row r="30" spans="1:16" ht="14.25" customHeight="1" x14ac:dyDescent="0.35">
      <c r="A30" s="98" t="s">
        <v>23</v>
      </c>
      <c r="B30" s="163">
        <f>(L32+P32*SQRT($B$7))^2</f>
        <v>2.8963521900565534</v>
      </c>
      <c r="C30" s="164"/>
      <c r="L30" s="83">
        <v>-16.7</v>
      </c>
      <c r="M30" s="84">
        <v>1.36</v>
      </c>
      <c r="N30" s="84">
        <v>0.47</v>
      </c>
      <c r="O30" s="84">
        <v>0.82</v>
      </c>
      <c r="P30" s="85">
        <v>0</v>
      </c>
    </row>
    <row r="31" spans="1:16" ht="14.25" customHeight="1" x14ac:dyDescent="0.35">
      <c r="A31" s="98" t="s">
        <v>24</v>
      </c>
      <c r="B31" s="163">
        <f>(L33+P33*SQRT($B$7))^2</f>
        <v>2.84642119449475</v>
      </c>
      <c r="C31" s="164"/>
      <c r="L31" s="83">
        <v>-17.2</v>
      </c>
      <c r="M31" s="84">
        <v>1.42</v>
      </c>
      <c r="N31" s="84">
        <v>0.45600000000000002</v>
      </c>
      <c r="O31" s="84">
        <v>0.81399999999999995</v>
      </c>
      <c r="P31" s="85">
        <v>0</v>
      </c>
    </row>
    <row r="32" spans="1:16" ht="14.25" customHeight="1" x14ac:dyDescent="0.35">
      <c r="A32" s="98" t="s">
        <v>25</v>
      </c>
      <c r="B32" s="163">
        <f>(L34+P34*SQRT($B$7))^2</f>
        <v>3.8795600019739238</v>
      </c>
      <c r="C32" s="164"/>
      <c r="L32" s="83">
        <v>0.38400000000000001</v>
      </c>
      <c r="M32" s="84">
        <v>0</v>
      </c>
      <c r="N32" s="84">
        <v>0</v>
      </c>
      <c r="O32" s="84">
        <v>0</v>
      </c>
      <c r="P32" s="84">
        <v>9.0999999999999998E-2</v>
      </c>
    </row>
    <row r="33" spans="1:16" ht="14.25" customHeight="1" x14ac:dyDescent="0.35">
      <c r="A33" s="98" t="s">
        <v>26</v>
      </c>
      <c r="B33" s="163">
        <f>EXP(L35+M35*LN($E$5)+N35*LN($E$6)+O35*LN($E$7))</f>
        <v>18.011077543691648</v>
      </c>
      <c r="C33" s="164"/>
      <c r="L33" s="83">
        <v>0.18099999999999999</v>
      </c>
      <c r="M33" s="84">
        <v>0</v>
      </c>
      <c r="N33" s="84">
        <v>0</v>
      </c>
      <c r="O33" s="84">
        <v>0</v>
      </c>
      <c r="P33" s="84">
        <v>0.104</v>
      </c>
    </row>
    <row r="34" spans="1:16" ht="14.25" customHeight="1" x14ac:dyDescent="0.35">
      <c r="A34" s="98" t="s">
        <v>27</v>
      </c>
      <c r="B34" s="163">
        <f>EXP(L36+M36*LN($E$5)+N36*LN($E$6)+O36*LN($E$7))</f>
        <v>39.557154561935363</v>
      </c>
      <c r="C34" s="164"/>
      <c r="L34" s="83">
        <v>1E-4</v>
      </c>
      <c r="M34" s="84">
        <v>0</v>
      </c>
      <c r="N34" s="84">
        <v>0</v>
      </c>
      <c r="O34" s="84">
        <v>0</v>
      </c>
      <c r="P34" s="84">
        <v>0.13600000000000001</v>
      </c>
    </row>
    <row r="35" spans="1:16" ht="14.25" customHeight="1" x14ac:dyDescent="0.35">
      <c r="A35" s="98" t="s">
        <v>28</v>
      </c>
      <c r="B35" s="163">
        <f t="shared" ref="B35:B39" si="1">EXP(L37+M37*LN($E$5)+N37*LN($E$6)+O37*LN($E$7))</f>
        <v>53.914218540194533</v>
      </c>
      <c r="C35" s="164"/>
      <c r="L35" s="83">
        <v>-19.5</v>
      </c>
      <c r="M35" s="84">
        <v>1.61</v>
      </c>
      <c r="N35" s="84">
        <v>0.70899999999999996</v>
      </c>
      <c r="O35" s="84">
        <v>0.872</v>
      </c>
      <c r="P35" s="85">
        <v>0</v>
      </c>
    </row>
    <row r="36" spans="1:16" ht="14.25" customHeight="1" x14ac:dyDescent="0.35">
      <c r="A36" s="98" t="s">
        <v>29</v>
      </c>
      <c r="B36" s="163">
        <f t="shared" si="1"/>
        <v>34.77148711771499</v>
      </c>
      <c r="C36" s="164"/>
      <c r="L36" s="83">
        <v>-16.3</v>
      </c>
      <c r="M36" s="84">
        <v>1.26</v>
      </c>
      <c r="N36" s="84">
        <v>0.75900000000000001</v>
      </c>
      <c r="O36" s="84">
        <v>0.88400000000000001</v>
      </c>
      <c r="P36" s="85">
        <v>0</v>
      </c>
    </row>
    <row r="37" spans="1:16" ht="14.25" customHeight="1" x14ac:dyDescent="0.35">
      <c r="A37" s="98" t="s">
        <v>30</v>
      </c>
      <c r="B37" s="163">
        <f t="shared" si="1"/>
        <v>17.534794166870796</v>
      </c>
      <c r="C37" s="164"/>
      <c r="L37" s="83">
        <v>-14.7</v>
      </c>
      <c r="M37" s="84">
        <v>1.24</v>
      </c>
      <c r="N37" s="84">
        <v>0.622</v>
      </c>
      <c r="O37" s="84">
        <v>0.871</v>
      </c>
      <c r="P37" s="85">
        <v>0</v>
      </c>
    </row>
    <row r="38" spans="1:16" ht="14.25" customHeight="1" x14ac:dyDescent="0.35">
      <c r="A38" s="98" t="s">
        <v>31</v>
      </c>
      <c r="B38" s="163">
        <f t="shared" si="1"/>
        <v>8.6445960376944324</v>
      </c>
      <c r="C38" s="164"/>
      <c r="L38" s="83">
        <v>-13.7</v>
      </c>
      <c r="M38" s="84">
        <v>1.0900000000000001</v>
      </c>
      <c r="N38" s="84">
        <v>0.59399999999999997</v>
      </c>
      <c r="O38" s="84">
        <v>0.872</v>
      </c>
      <c r="P38" s="85">
        <v>0</v>
      </c>
    </row>
    <row r="39" spans="1:16" ht="14.25" customHeight="1" x14ac:dyDescent="0.35">
      <c r="A39" s="98" t="s">
        <v>32</v>
      </c>
      <c r="B39" s="163">
        <f t="shared" si="1"/>
        <v>5.9271303154154777</v>
      </c>
      <c r="C39" s="164"/>
      <c r="L39" s="83">
        <v>-15.3</v>
      </c>
      <c r="M39" s="84">
        <v>1.21</v>
      </c>
      <c r="N39" s="84">
        <v>0.6</v>
      </c>
      <c r="O39" s="84">
        <v>0.84599999999999997</v>
      </c>
      <c r="P39" s="85">
        <v>0</v>
      </c>
    </row>
    <row r="40" spans="1:16" ht="14.25" customHeight="1" x14ac:dyDescent="0.35">
      <c r="A40" s="98" t="s">
        <v>20</v>
      </c>
      <c r="B40" s="163">
        <f>AVERAGE(B28:C39)</f>
        <v>16.40484858444638</v>
      </c>
      <c r="C40" s="164"/>
      <c r="L40" s="83">
        <v>-16.7</v>
      </c>
      <c r="M40" s="84">
        <v>1.36</v>
      </c>
      <c r="N40" s="84">
        <v>0.54300000000000004</v>
      </c>
      <c r="O40" s="84">
        <v>0.82599999999999996</v>
      </c>
      <c r="P40" s="85">
        <v>0</v>
      </c>
    </row>
    <row r="41" spans="1:16" ht="14.25" customHeight="1" x14ac:dyDescent="0.35">
      <c r="A41" s="111" t="s">
        <v>62</v>
      </c>
      <c r="B41" s="163">
        <f>MAX(B28:B39)</f>
        <v>53.914218540194533</v>
      </c>
      <c r="C41" s="164"/>
      <c r="L41" s="83">
        <v>-17</v>
      </c>
      <c r="M41" s="84">
        <v>1.39</v>
      </c>
      <c r="N41" s="84">
        <v>0.504</v>
      </c>
      <c r="O41" s="84">
        <v>0.82199999999999995</v>
      </c>
      <c r="P41" s="85">
        <v>0</v>
      </c>
    </row>
    <row r="42" spans="1:16" ht="14.25" customHeight="1" x14ac:dyDescent="0.35">
      <c r="A42" s="111" t="s">
        <v>63</v>
      </c>
      <c r="B42" s="163">
        <f>MIN(B28:B39)</f>
        <v>2.84642119449475</v>
      </c>
      <c r="C42" s="164"/>
      <c r="D42" s="86"/>
      <c r="E42" s="86"/>
      <c r="F42" s="86"/>
      <c r="G42" s="87"/>
      <c r="H42" s="87"/>
    </row>
    <row r="43" spans="1:16" ht="14.25" customHeight="1" x14ac:dyDescent="0.35">
      <c r="A43" s="32" t="s">
        <v>65</v>
      </c>
      <c r="B43" s="88">
        <f>B41/B42</f>
        <v>18.941054347286961</v>
      </c>
      <c r="C43" s="86"/>
      <c r="D43" s="86"/>
      <c r="E43" s="86"/>
      <c r="F43" s="86"/>
      <c r="G43" s="87"/>
      <c r="H43" s="87"/>
    </row>
    <row r="44" spans="1:16" x14ac:dyDescent="0.35">
      <c r="B44" s="81"/>
      <c r="C44" s="86"/>
      <c r="D44" s="86"/>
      <c r="E44" s="86"/>
      <c r="F44" s="86"/>
      <c r="G44" s="87"/>
      <c r="H44" s="87"/>
    </row>
    <row r="45" spans="1:16" ht="14.25" customHeight="1" x14ac:dyDescent="0.35">
      <c r="B45" s="90"/>
      <c r="C45" s="86"/>
      <c r="D45" s="86"/>
      <c r="E45" s="86"/>
      <c r="F45" s="86"/>
      <c r="G45" s="87"/>
      <c r="H45" s="87"/>
    </row>
    <row r="46" spans="1:16" ht="14.25" customHeight="1" x14ac:dyDescent="0.35">
      <c r="A46" s="162" t="s">
        <v>45</v>
      </c>
      <c r="B46" s="162"/>
      <c r="C46" s="162"/>
      <c r="D46" s="162"/>
      <c r="L46" s="32" t="s">
        <v>37</v>
      </c>
      <c r="M46" s="32" t="s">
        <v>38</v>
      </c>
      <c r="N46" s="32" t="s">
        <v>39</v>
      </c>
      <c r="O46" s="32" t="s">
        <v>42</v>
      </c>
      <c r="P46" s="32" t="s">
        <v>43</v>
      </c>
    </row>
    <row r="47" spans="1:16" ht="18.75" x14ac:dyDescent="0.35">
      <c r="A47" s="165" t="s">
        <v>46</v>
      </c>
      <c r="B47" s="165"/>
      <c r="C47" s="165" t="s">
        <v>91</v>
      </c>
      <c r="D47" s="165"/>
      <c r="L47" s="80" t="s">
        <v>33</v>
      </c>
      <c r="M47" s="80" t="s">
        <v>34</v>
      </c>
      <c r="N47" s="80" t="s">
        <v>35</v>
      </c>
      <c r="O47" s="80" t="s">
        <v>36</v>
      </c>
      <c r="P47" s="80" t="s">
        <v>44</v>
      </c>
    </row>
    <row r="48" spans="1:16" x14ac:dyDescent="0.35">
      <c r="A48" s="112">
        <v>0</v>
      </c>
      <c r="B48" s="112"/>
      <c r="C48" s="163">
        <f>($L$48+M48*SQRT($E$5)+$O$48*SQRT($E$7))^2</f>
        <v>176.00841783703962</v>
      </c>
      <c r="D48" s="164"/>
      <c r="L48" s="89">
        <v>-12.8</v>
      </c>
      <c r="M48" s="32">
        <v>0.36599999999999999</v>
      </c>
      <c r="N48" s="86">
        <v>0</v>
      </c>
      <c r="O48" s="32">
        <v>0.52900000000000003</v>
      </c>
      <c r="P48" s="86">
        <v>0</v>
      </c>
    </row>
    <row r="49" spans="1:16" x14ac:dyDescent="0.35">
      <c r="A49" s="112">
        <v>5</v>
      </c>
      <c r="B49" s="112"/>
      <c r="C49" s="163">
        <f>EXP(L49+M49*LN($E$5)+N49*LN($E$6)+O49*LN($E$7))</f>
        <v>49.693258461696381</v>
      </c>
      <c r="D49" s="164"/>
      <c r="L49" s="89">
        <v>-13.6</v>
      </c>
      <c r="M49" s="32">
        <v>1.1080000000000001</v>
      </c>
      <c r="N49" s="32">
        <v>0.60699999999999998</v>
      </c>
      <c r="O49" s="32">
        <v>0.874</v>
      </c>
      <c r="P49" s="86">
        <v>0</v>
      </c>
    </row>
    <row r="50" spans="1:16" x14ac:dyDescent="0.35">
      <c r="A50" s="112">
        <v>20</v>
      </c>
      <c r="B50" s="112"/>
      <c r="C50" s="163">
        <f>EXP(L50+M50*LN($E$5)+N50*LN($E$6)+O50*LN($E$7))</f>
        <v>31.33550947357524</v>
      </c>
      <c r="D50" s="164"/>
      <c r="L50" s="89">
        <v>-17</v>
      </c>
      <c r="M50" s="32">
        <v>1.359</v>
      </c>
      <c r="N50" s="32">
        <v>0.71599999999999997</v>
      </c>
      <c r="O50" s="32">
        <v>0.88300000000000001</v>
      </c>
      <c r="P50" s="86">
        <v>0</v>
      </c>
    </row>
    <row r="51" spans="1:16" x14ac:dyDescent="0.35">
      <c r="A51" s="113">
        <v>40</v>
      </c>
      <c r="B51" s="113"/>
      <c r="C51" s="163">
        <f>EXP(L51+M51*LN($E$5)+N51*LN($E$6)+O51*LN($E$7))</f>
        <v>11.753466729775671</v>
      </c>
      <c r="D51" s="164"/>
      <c r="L51" s="89">
        <v>-19</v>
      </c>
      <c r="M51" s="32">
        <v>1.554</v>
      </c>
      <c r="N51" s="32">
        <v>0.65600000000000003</v>
      </c>
      <c r="O51" s="32">
        <v>0.85899999999999999</v>
      </c>
      <c r="P51" s="86">
        <v>0</v>
      </c>
    </row>
    <row r="52" spans="1:16" x14ac:dyDescent="0.35">
      <c r="A52" s="112">
        <v>50</v>
      </c>
      <c r="B52" s="112"/>
      <c r="C52" s="163">
        <f>AVERAGE(C51,C53)</f>
        <v>8.8282588590228883</v>
      </c>
      <c r="D52" s="164"/>
      <c r="L52" s="89"/>
      <c r="P52" s="86"/>
    </row>
    <row r="53" spans="1:16" x14ac:dyDescent="0.35">
      <c r="A53" s="112">
        <v>60</v>
      </c>
      <c r="B53" s="112"/>
      <c r="C53" s="163">
        <f>EXP(L53+M53*LN($E$5)+N53*LN($E$6)+O53*LN($E$7))</f>
        <v>5.9030509882701052</v>
      </c>
      <c r="D53" s="164"/>
      <c r="L53" s="89">
        <v>-18.3</v>
      </c>
      <c r="M53" s="32">
        <v>1.5349999999999999</v>
      </c>
      <c r="N53" s="32">
        <v>0.51300000000000001</v>
      </c>
      <c r="O53" s="32">
        <v>0.83199999999999996</v>
      </c>
      <c r="P53" s="86">
        <v>0</v>
      </c>
    </row>
    <row r="54" spans="1:16" x14ac:dyDescent="0.35">
      <c r="A54" s="112">
        <v>65</v>
      </c>
      <c r="B54" s="112"/>
      <c r="C54" s="163">
        <f>AVERAGE(AVERAGE(C53,C55),C53)</f>
        <v>5.5304124355401036</v>
      </c>
      <c r="D54" s="164"/>
      <c r="L54" s="89"/>
      <c r="P54" s="86"/>
    </row>
    <row r="55" spans="1:16" x14ac:dyDescent="0.35">
      <c r="A55" s="112">
        <v>80</v>
      </c>
      <c r="B55" s="112"/>
      <c r="C55" s="163">
        <f>EXP(L55+M55*LN($E$5)+N55*LN($E$6)+O55*LN($E$7))</f>
        <v>4.4124967773500989</v>
      </c>
      <c r="D55" s="164"/>
      <c r="L55" s="89">
        <v>-19.399999999999999</v>
      </c>
      <c r="M55" s="32">
        <v>1.589</v>
      </c>
      <c r="N55" s="32">
        <v>0.55900000000000005</v>
      </c>
      <c r="O55" s="32">
        <v>0.83399999999999996</v>
      </c>
      <c r="P55" s="86">
        <v>0</v>
      </c>
    </row>
    <row r="56" spans="1:16" x14ac:dyDescent="0.35">
      <c r="A56" s="112">
        <v>95</v>
      </c>
      <c r="B56" s="112"/>
      <c r="C56" s="163">
        <f>EXP(L56+M56*LN($E$5)+N56*LN($E$6)+O56*LN($E$7))</f>
        <v>3.2879635568786143</v>
      </c>
      <c r="D56" s="164"/>
      <c r="L56" s="89">
        <v>-21.2</v>
      </c>
      <c r="M56" s="32">
        <v>1.732</v>
      </c>
      <c r="N56" s="32">
        <v>0.59799999999999998</v>
      </c>
      <c r="O56" s="32">
        <v>0.84199999999999997</v>
      </c>
      <c r="P56" s="86">
        <v>0</v>
      </c>
    </row>
    <row r="57" spans="1:16" x14ac:dyDescent="0.35">
      <c r="A57" s="112">
        <v>100</v>
      </c>
      <c r="B57" s="112"/>
      <c r="C57" s="163">
        <f>(L57+N57*SQRT($E$6)+P57*SQRT($B$7))^2</f>
        <v>1.782541290460107</v>
      </c>
      <c r="D57" s="164"/>
      <c r="L57" s="89">
        <v>-2.1800000000000002</v>
      </c>
      <c r="M57" s="86">
        <v>0</v>
      </c>
      <c r="N57" s="32">
        <v>4.8000000000000001E-2</v>
      </c>
      <c r="O57" s="86">
        <v>0</v>
      </c>
      <c r="P57" s="32">
        <v>7.6999999999999999E-2</v>
      </c>
    </row>
  </sheetData>
  <mergeCells count="77">
    <mergeCell ref="H20:J20"/>
    <mergeCell ref="H21:J21"/>
    <mergeCell ref="H15:J15"/>
    <mergeCell ref="H16:J16"/>
    <mergeCell ref="H17:J17"/>
    <mergeCell ref="H18:J18"/>
    <mergeCell ref="H19:J19"/>
    <mergeCell ref="C53:D53"/>
    <mergeCell ref="C54:D54"/>
    <mergeCell ref="C55:D55"/>
    <mergeCell ref="C56:D56"/>
    <mergeCell ref="C57:D57"/>
    <mergeCell ref="C17:D17"/>
    <mergeCell ref="C16:D16"/>
    <mergeCell ref="A21:B21"/>
    <mergeCell ref="B32:C32"/>
    <mergeCell ref="B31:C31"/>
    <mergeCell ref="B30:C30"/>
    <mergeCell ref="B28:C28"/>
    <mergeCell ref="C48:D48"/>
    <mergeCell ref="C49:D49"/>
    <mergeCell ref="C50:D50"/>
    <mergeCell ref="A19:B19"/>
    <mergeCell ref="A20:B20"/>
    <mergeCell ref="C19:D19"/>
    <mergeCell ref="C20:D20"/>
    <mergeCell ref="B29:C29"/>
    <mergeCell ref="A26:C26"/>
    <mergeCell ref="B27:C27"/>
    <mergeCell ref="C21:D21"/>
    <mergeCell ref="B33:C33"/>
    <mergeCell ref="A24:J24"/>
    <mergeCell ref="H22:J22"/>
    <mergeCell ref="B34:C34"/>
    <mergeCell ref="B35:C35"/>
    <mergeCell ref="C51:D51"/>
    <mergeCell ref="C52:D52"/>
    <mergeCell ref="F19:F22"/>
    <mergeCell ref="A1:I1"/>
    <mergeCell ref="F9:I9"/>
    <mergeCell ref="A13:B13"/>
    <mergeCell ref="A15:B15"/>
    <mergeCell ref="C15:D15"/>
    <mergeCell ref="F15:F18"/>
    <mergeCell ref="A16:B16"/>
    <mergeCell ref="A17:B17"/>
    <mergeCell ref="A18:B18"/>
    <mergeCell ref="C11:D11"/>
    <mergeCell ref="C12:D12"/>
    <mergeCell ref="C13:D13"/>
    <mergeCell ref="C18:D18"/>
    <mergeCell ref="M1:N1"/>
    <mergeCell ref="A9:D9"/>
    <mergeCell ref="F11:F14"/>
    <mergeCell ref="K1:L1"/>
    <mergeCell ref="A10:B10"/>
    <mergeCell ref="A11:B11"/>
    <mergeCell ref="A12:B12"/>
    <mergeCell ref="C14:D14"/>
    <mergeCell ref="A14:B14"/>
    <mergeCell ref="H14:J14"/>
    <mergeCell ref="C10:D10"/>
    <mergeCell ref="A8:J8"/>
    <mergeCell ref="H10:J10"/>
    <mergeCell ref="H11:J11"/>
    <mergeCell ref="H12:J12"/>
    <mergeCell ref="H13:J13"/>
    <mergeCell ref="B36:C36"/>
    <mergeCell ref="B37:C37"/>
    <mergeCell ref="B38:C38"/>
    <mergeCell ref="A47:B47"/>
    <mergeCell ref="B39:C39"/>
    <mergeCell ref="B40:C40"/>
    <mergeCell ref="B41:C41"/>
    <mergeCell ref="C47:D47"/>
    <mergeCell ref="A46:D46"/>
    <mergeCell ref="B42:C42"/>
  </mergeCells>
  <phoneticPr fontId="2" type="noConversion"/>
  <pageMargins left="0.75" right="0.75" top="1" bottom="1" header="0.5" footer="0.5"/>
  <pageSetup paperSize="9" scale="67" orientation="portrait" r:id="rId1"/>
  <headerFooter alignWithMargins="0">
    <oddHeader>&amp;L&amp;"Gill Sans MT,Italic"&amp;9Department of Electricity Development &amp;R&amp;"Gill Sans MT,Italic"&amp;9Sankhuwa Khola I Hydropower Project 
Feasibility Study Report (Draft)</oddHeader>
    <oddFooter>&amp;L&amp;"Gill Sans MT,Italic"&amp;9JV-ERMC and Hydro-Consult Engineering Limited&amp;R&amp;8&amp;P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"/>
  <sheetViews>
    <sheetView workbookViewId="0">
      <selection activeCell="E4" sqref="E4"/>
    </sheetView>
  </sheetViews>
  <sheetFormatPr defaultRowHeight="12.75" x14ac:dyDescent="0.2"/>
  <sheetData>
    <row r="1" spans="1:8" ht="86.25" x14ac:dyDescent="0.2">
      <c r="A1" s="137" t="s">
        <v>99</v>
      </c>
      <c r="B1" s="138" t="s">
        <v>100</v>
      </c>
      <c r="C1" s="139" t="s">
        <v>101</v>
      </c>
      <c r="D1" s="139" t="s">
        <v>102</v>
      </c>
      <c r="E1" s="139" t="s">
        <v>106</v>
      </c>
      <c r="F1" s="139" t="s">
        <v>103</v>
      </c>
      <c r="G1" s="139" t="s">
        <v>104</v>
      </c>
      <c r="H1" s="139" t="s">
        <v>105</v>
      </c>
    </row>
    <row r="2" spans="1:8" ht="17.25" x14ac:dyDescent="0.35">
      <c r="A2" s="148">
        <v>1</v>
      </c>
      <c r="B2" s="140" t="s">
        <v>107</v>
      </c>
      <c r="C2" s="147" t="s">
        <v>95</v>
      </c>
      <c r="D2" s="141">
        <v>160.79</v>
      </c>
      <c r="E2" s="142">
        <f>1-F2-G2</f>
        <v>0.10019279805958081</v>
      </c>
      <c r="F2" s="143">
        <f>99.17/D2</f>
        <v>0.6167672118912868</v>
      </c>
      <c r="G2" s="143">
        <f>45.51/D2</f>
        <v>0.28303999004913238</v>
      </c>
      <c r="H2" s="144">
        <v>115.28</v>
      </c>
    </row>
    <row r="3" spans="1:8" ht="17.25" x14ac:dyDescent="0.35">
      <c r="A3" s="148">
        <v>2</v>
      </c>
      <c r="B3" s="140" t="s">
        <v>108</v>
      </c>
      <c r="C3" s="147" t="s">
        <v>95</v>
      </c>
      <c r="D3" s="141">
        <v>27542.558891000001</v>
      </c>
      <c r="E3" s="142">
        <f>701.04/D3</f>
        <v>2.5452972716673638E-2</v>
      </c>
      <c r="F3" s="143">
        <f>16099.27/D3</f>
        <v>0.58452339391241936</v>
      </c>
      <c r="G3" s="143">
        <f>10742.45/D3</f>
        <v>0.39003093512528636</v>
      </c>
      <c r="H3" s="144">
        <f>701.04+16099.27</f>
        <v>16800.310000000001</v>
      </c>
    </row>
    <row r="4" spans="1:8" ht="17.25" x14ac:dyDescent="0.35">
      <c r="A4" s="148">
        <v>3</v>
      </c>
      <c r="B4" s="140" t="s">
        <v>115</v>
      </c>
      <c r="C4" s="147" t="s">
        <v>95</v>
      </c>
      <c r="D4" s="141">
        <v>217.89184</v>
      </c>
      <c r="E4" s="142">
        <f>70.31/D4</f>
        <v>0.3226830339309632</v>
      </c>
      <c r="F4" s="143">
        <f>139.41/D4</f>
        <v>0.63981285393707266</v>
      </c>
      <c r="G4" s="143">
        <f>8.17/D4</f>
        <v>3.7495667575252016E-2</v>
      </c>
      <c r="H4" s="144">
        <f>70.32+139.41</f>
        <v>209.73</v>
      </c>
    </row>
    <row r="5" spans="1:8" ht="17.25" x14ac:dyDescent="0.35">
      <c r="A5" s="148">
        <v>4</v>
      </c>
      <c r="B5" s="30" t="s">
        <v>109</v>
      </c>
      <c r="C5" s="147">
        <v>600.1</v>
      </c>
      <c r="D5" s="144">
        <v>27090.762891999999</v>
      </c>
      <c r="E5" s="145">
        <f>438.45/D5</f>
        <v>1.6184483314402191E-2</v>
      </c>
      <c r="F5" s="145">
        <f>15957.75/D5</f>
        <v>0.58904764194412484</v>
      </c>
      <c r="G5" s="145">
        <f>10694.56/D5</f>
        <v>0.39476776798921903</v>
      </c>
      <c r="H5" s="144">
        <v>16396.2</v>
      </c>
    </row>
    <row r="6" spans="1:8" ht="17.25" x14ac:dyDescent="0.35">
      <c r="A6" s="148">
        <v>5</v>
      </c>
      <c r="B6" s="140" t="s">
        <v>110</v>
      </c>
      <c r="C6" s="147">
        <v>602</v>
      </c>
      <c r="D6" s="30">
        <v>391.36</v>
      </c>
      <c r="E6" s="142">
        <f>361.15/D6</f>
        <v>0.92280764513491409</v>
      </c>
      <c r="F6" s="143">
        <f>30.2/D6</f>
        <v>7.7166802943581358E-2</v>
      </c>
      <c r="G6" s="143">
        <v>0</v>
      </c>
      <c r="H6" s="30">
        <v>391.36</v>
      </c>
    </row>
    <row r="7" spans="1:8" ht="17.25" x14ac:dyDescent="0.35">
      <c r="A7" s="148">
        <v>6</v>
      </c>
      <c r="B7" s="30" t="s">
        <v>111</v>
      </c>
      <c r="C7" s="147">
        <v>602.5</v>
      </c>
      <c r="D7" s="144">
        <v>148.13999999999999</v>
      </c>
      <c r="E7" s="146">
        <f>142.26/D7</f>
        <v>0.96030781692993117</v>
      </c>
      <c r="F7" s="146">
        <f>5.88/D7</f>
        <v>3.9692183070068859E-2</v>
      </c>
      <c r="G7" s="146">
        <v>0</v>
      </c>
      <c r="H7" s="144">
        <v>148.13999999999999</v>
      </c>
    </row>
    <row r="8" spans="1:8" ht="17.25" x14ac:dyDescent="0.35">
      <c r="A8" s="148">
        <v>7</v>
      </c>
      <c r="B8" s="30" t="s">
        <v>112</v>
      </c>
      <c r="C8" s="147">
        <v>604.5</v>
      </c>
      <c r="D8" s="144">
        <v>28601.893849</v>
      </c>
      <c r="E8" s="145">
        <f>1467.3/D8</f>
        <v>5.1300798742433651E-2</v>
      </c>
      <c r="F8" s="145">
        <f>16382.4/D8</f>
        <v>0.57277326062703271</v>
      </c>
      <c r="G8" s="146">
        <f>10752.2/D8</f>
        <v>0.37592615568622312</v>
      </c>
      <c r="H8" s="144">
        <v>17849.7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Q59"/>
  <sheetViews>
    <sheetView showGridLines="0" zoomScaleNormal="100" workbookViewId="0">
      <selection activeCell="E7" sqref="E7"/>
    </sheetView>
  </sheetViews>
  <sheetFormatPr defaultRowHeight="11.25" x14ac:dyDescent="0.2"/>
  <cols>
    <col min="1" max="2" width="17.7109375" style="2" customWidth="1"/>
    <col min="3" max="3" width="10.42578125" style="2" customWidth="1"/>
    <col min="4" max="4" width="17.5703125" style="2" customWidth="1"/>
    <col min="5" max="5" width="15" style="2" customWidth="1"/>
    <col min="6" max="6" width="14.85546875" style="2" bestFit="1" customWidth="1"/>
    <col min="7" max="8" width="13.7109375" style="2" customWidth="1"/>
    <col min="9" max="10" width="9.140625" style="2"/>
    <col min="11" max="11" width="12" style="2" customWidth="1"/>
    <col min="12" max="12" width="12.85546875" style="2" customWidth="1"/>
    <col min="13" max="13" width="17.28515625" style="2" customWidth="1"/>
    <col min="14" max="14" width="14.140625" style="2" customWidth="1"/>
    <col min="15" max="15" width="13.5703125" style="2" customWidth="1"/>
    <col min="16" max="16384" width="9.140625" style="2"/>
  </cols>
  <sheetData>
    <row r="1" spans="1:17" ht="12.75" x14ac:dyDescent="0.2">
      <c r="A1" s="196" t="s">
        <v>69</v>
      </c>
      <c r="B1" s="196"/>
      <c r="C1" s="196"/>
      <c r="D1" s="196"/>
      <c r="E1" s="196"/>
      <c r="F1" s="196"/>
      <c r="G1" s="196"/>
      <c r="H1" s="196"/>
      <c r="I1" s="196"/>
      <c r="L1" s="1"/>
      <c r="M1" s="1"/>
    </row>
    <row r="2" spans="1:17" ht="12.75" x14ac:dyDescent="0.2">
      <c r="A2" s="196" t="s">
        <v>5</v>
      </c>
      <c r="B2" s="196"/>
      <c r="C2" s="196"/>
      <c r="D2" s="196"/>
      <c r="E2" s="196"/>
      <c r="F2" s="196"/>
      <c r="G2" s="196"/>
      <c r="H2" s="196"/>
      <c r="I2" s="196"/>
      <c r="J2" s="197"/>
      <c r="K2" s="197"/>
      <c r="L2" s="197"/>
      <c r="M2" s="197"/>
    </row>
    <row r="3" spans="1:17" ht="12.75" x14ac:dyDescent="0.2">
      <c r="A3" s="3" t="s">
        <v>6</v>
      </c>
      <c r="B3" s="2" t="s">
        <v>74</v>
      </c>
      <c r="C3" s="15"/>
      <c r="D3" s="15"/>
      <c r="E3" s="5" t="s">
        <v>7</v>
      </c>
      <c r="F3" s="4"/>
      <c r="K3" s="15"/>
      <c r="N3" s="4"/>
      <c r="O3" s="4"/>
      <c r="P3" s="4"/>
    </row>
    <row r="4" spans="1:17" x14ac:dyDescent="0.2">
      <c r="A4" s="3" t="s">
        <v>8</v>
      </c>
      <c r="B4" s="2" t="s">
        <v>77</v>
      </c>
      <c r="C4" s="4"/>
      <c r="D4" s="4"/>
      <c r="E4" s="5" t="s">
        <v>9</v>
      </c>
      <c r="F4" s="2" t="s">
        <v>70</v>
      </c>
      <c r="K4" s="4"/>
      <c r="N4" s="4"/>
      <c r="O4" s="4"/>
      <c r="P4" s="4"/>
    </row>
    <row r="5" spans="1:17" x14ac:dyDescent="0.2">
      <c r="A5" s="3" t="s">
        <v>10</v>
      </c>
      <c r="B5" s="6">
        <f ca="1">TODAY()</f>
        <v>44614</v>
      </c>
      <c r="D5" s="4"/>
      <c r="E5" s="5" t="s">
        <v>11</v>
      </c>
      <c r="F5" s="6"/>
      <c r="K5" s="4"/>
      <c r="N5" s="4"/>
      <c r="O5" s="4"/>
      <c r="P5" s="4"/>
    </row>
    <row r="7" spans="1:17" x14ac:dyDescent="0.2">
      <c r="A7" s="7" t="s">
        <v>0</v>
      </c>
      <c r="B7" s="29" t="s">
        <v>75</v>
      </c>
      <c r="D7" s="8" t="s">
        <v>40</v>
      </c>
      <c r="E7" s="28">
        <v>3728</v>
      </c>
      <c r="F7" s="2" t="s">
        <v>41</v>
      </c>
    </row>
    <row r="8" spans="1:17" x14ac:dyDescent="0.2">
      <c r="A8" s="7" t="s">
        <v>1</v>
      </c>
      <c r="B8" s="28">
        <v>503</v>
      </c>
      <c r="C8" s="2" t="s">
        <v>47</v>
      </c>
      <c r="D8" s="8" t="s">
        <v>67</v>
      </c>
      <c r="E8" s="28">
        <v>2800</v>
      </c>
      <c r="F8" s="2" t="s">
        <v>76</v>
      </c>
      <c r="M8" s="20"/>
      <c r="N8" s="20"/>
      <c r="O8" s="20"/>
    </row>
    <row r="9" spans="1:17" x14ac:dyDescent="0.2">
      <c r="A9" s="7" t="s">
        <v>3</v>
      </c>
      <c r="B9" s="28">
        <v>384</v>
      </c>
      <c r="C9" s="2" t="s">
        <v>47</v>
      </c>
      <c r="D9" s="8" t="s">
        <v>4</v>
      </c>
      <c r="E9" s="28">
        <v>213</v>
      </c>
      <c r="F9" s="2" t="s">
        <v>47</v>
      </c>
    </row>
    <row r="10" spans="1:17" x14ac:dyDescent="0.2">
      <c r="A10" s="187" t="s">
        <v>55</v>
      </c>
      <c r="B10" s="187"/>
      <c r="C10" s="187"/>
      <c r="D10" s="187"/>
      <c r="E10" s="187"/>
      <c r="F10" s="187"/>
      <c r="G10" s="187"/>
      <c r="H10" s="187"/>
      <c r="I10" s="187"/>
    </row>
    <row r="11" spans="1:17" x14ac:dyDescent="0.2">
      <c r="A11" s="195" t="s">
        <v>12</v>
      </c>
      <c r="B11" s="195"/>
      <c r="C11" s="195"/>
      <c r="D11" s="195"/>
      <c r="F11" s="195" t="s">
        <v>15</v>
      </c>
      <c r="G11" s="195"/>
      <c r="H11" s="195"/>
      <c r="I11" s="195"/>
      <c r="K11" s="20" t="s">
        <v>12</v>
      </c>
      <c r="N11" s="20" t="s">
        <v>15</v>
      </c>
      <c r="O11" s="20"/>
      <c r="P11" s="20"/>
      <c r="Q11" s="20"/>
    </row>
    <row r="12" spans="1:17" x14ac:dyDescent="0.2">
      <c r="A12" s="190" t="s">
        <v>13</v>
      </c>
      <c r="B12" s="190"/>
      <c r="C12" s="190" t="s">
        <v>48</v>
      </c>
      <c r="D12" s="190"/>
      <c r="E12" s="22"/>
      <c r="F12" s="7" t="s">
        <v>16</v>
      </c>
      <c r="G12" s="7" t="s">
        <v>17</v>
      </c>
      <c r="H12" s="190" t="s">
        <v>51</v>
      </c>
      <c r="I12" s="190"/>
      <c r="J12" s="13"/>
      <c r="K12" s="2" t="s">
        <v>14</v>
      </c>
      <c r="N12" s="2" t="s">
        <v>49</v>
      </c>
      <c r="O12" s="2" t="s">
        <v>50</v>
      </c>
    </row>
    <row r="13" spans="1:17" x14ac:dyDescent="0.2">
      <c r="A13" s="190">
        <v>2</v>
      </c>
      <c r="B13" s="190"/>
      <c r="C13" s="179">
        <f>2.29*$E$9^0.86</f>
        <v>230.27242857993735</v>
      </c>
      <c r="D13" s="179"/>
      <c r="E13" s="22"/>
      <c r="F13" s="191">
        <v>2</v>
      </c>
      <c r="G13" s="7">
        <v>1</v>
      </c>
      <c r="H13" s="192">
        <f t="shared" ref="H13:H24" si="0">(N13+O13*SQRT($B$9))^2</f>
        <v>3.2814138235119374</v>
      </c>
      <c r="I13" s="192"/>
      <c r="J13" s="13"/>
      <c r="K13" s="2">
        <v>0</v>
      </c>
      <c r="N13" s="9">
        <v>0.21440000000000001</v>
      </c>
      <c r="O13" s="10">
        <v>8.1500000000000003E-2</v>
      </c>
    </row>
    <row r="14" spans="1:17" x14ac:dyDescent="0.2">
      <c r="A14" s="190">
        <v>5</v>
      </c>
      <c r="B14" s="190"/>
      <c r="C14" s="179">
        <f>EXP(LN($C$13)+K14*LN($C$18/$C$13)/2.326)</f>
        <v>389.36528883527996</v>
      </c>
      <c r="D14" s="179"/>
      <c r="E14" s="22"/>
      <c r="F14" s="191"/>
      <c r="G14" s="7">
        <v>7</v>
      </c>
      <c r="H14" s="192">
        <f t="shared" si="0"/>
        <v>3.4695067057818734</v>
      </c>
      <c r="I14" s="192"/>
      <c r="J14" s="13"/>
      <c r="K14" s="2">
        <v>0.84199999999999997</v>
      </c>
      <c r="N14" s="9">
        <v>0.23619999999999999</v>
      </c>
      <c r="O14" s="10">
        <v>8.3000000000000004E-2</v>
      </c>
    </row>
    <row r="15" spans="1:17" x14ac:dyDescent="0.2">
      <c r="A15" s="190">
        <v>10</v>
      </c>
      <c r="B15" s="190"/>
      <c r="C15" s="179">
        <f>EXP(LN($C$13)+K15*LN($C$18/$C$13)/2.326)</f>
        <v>512.34484707620948</v>
      </c>
      <c r="D15" s="179"/>
      <c r="E15" s="22"/>
      <c r="F15" s="191"/>
      <c r="G15" s="7">
        <v>30</v>
      </c>
      <c r="H15" s="192">
        <f t="shared" si="0"/>
        <v>3.9049371906014811</v>
      </c>
      <c r="I15" s="192"/>
      <c r="J15" s="13"/>
      <c r="K15" s="2">
        <v>1.282</v>
      </c>
      <c r="N15" s="9">
        <v>0.30259999999999998</v>
      </c>
      <c r="O15" s="10">
        <v>8.5400000000000004E-2</v>
      </c>
    </row>
    <row r="16" spans="1:17" x14ac:dyDescent="0.2">
      <c r="A16" s="190">
        <v>20</v>
      </c>
      <c r="B16" s="190"/>
      <c r="C16" s="179">
        <f>EXP(LN($C$13)+K16*LN($C$18/$C$13)/2.326)</f>
        <v>642.5495345543718</v>
      </c>
      <c r="D16" s="179"/>
      <c r="E16" s="22"/>
      <c r="F16" s="191"/>
      <c r="G16" s="7" t="s">
        <v>18</v>
      </c>
      <c r="H16" s="192">
        <f t="shared" si="0"/>
        <v>4.1004182218978604</v>
      </c>
      <c r="I16" s="192"/>
      <c r="J16" s="13"/>
      <c r="K16" s="2">
        <v>1.645</v>
      </c>
      <c r="N16" s="9">
        <v>0.3397</v>
      </c>
      <c r="O16" s="10">
        <v>8.5999999999999993E-2</v>
      </c>
    </row>
    <row r="17" spans="1:15" x14ac:dyDescent="0.2">
      <c r="A17" s="190">
        <v>50</v>
      </c>
      <c r="B17" s="190"/>
      <c r="C17" s="179">
        <f>EXP(LN($C$13)+K17*LN($C$18/$C$13)/2.326)</f>
        <v>829.30294874541437</v>
      </c>
      <c r="D17" s="179"/>
      <c r="E17" s="22"/>
      <c r="F17" s="191">
        <v>10</v>
      </c>
      <c r="G17" s="7">
        <v>1</v>
      </c>
      <c r="H17" s="192">
        <f t="shared" si="0"/>
        <v>2.2935358374108796</v>
      </c>
      <c r="I17" s="192"/>
      <c r="J17" s="13"/>
      <c r="K17" s="2">
        <v>2.0539999999999998</v>
      </c>
      <c r="N17" s="9">
        <v>8.5900000000000004E-2</v>
      </c>
      <c r="O17" s="10">
        <v>7.2900000000000006E-2</v>
      </c>
    </row>
    <row r="18" spans="1:15" x14ac:dyDescent="0.2">
      <c r="A18" s="193">
        <v>100</v>
      </c>
      <c r="B18" s="193"/>
      <c r="C18" s="194">
        <f>20.7*$E$9^0.72</f>
        <v>982.66086397914762</v>
      </c>
      <c r="D18" s="194"/>
      <c r="E18" s="22"/>
      <c r="F18" s="191"/>
      <c r="G18" s="7">
        <v>7</v>
      </c>
      <c r="H18" s="192">
        <f t="shared" si="0"/>
        <v>2.4266618978229877</v>
      </c>
      <c r="I18" s="192"/>
      <c r="J18" s="13"/>
      <c r="K18" s="2">
        <v>2.3260000000000001</v>
      </c>
      <c r="N18" s="9">
        <v>9.1999999999999998E-2</v>
      </c>
      <c r="O18" s="10">
        <v>7.4800000000000005E-2</v>
      </c>
    </row>
    <row r="19" spans="1:15" x14ac:dyDescent="0.2">
      <c r="A19" s="190">
        <v>200</v>
      </c>
      <c r="B19" s="190"/>
      <c r="C19" s="179">
        <f>EXP(LN($C$13)+K19*LN($C$18/$C$13)/2.326)</f>
        <v>1148.5075467422741</v>
      </c>
      <c r="D19" s="179"/>
      <c r="E19" s="22"/>
      <c r="F19" s="191"/>
      <c r="G19" s="7">
        <v>30</v>
      </c>
      <c r="H19" s="192">
        <f t="shared" si="0"/>
        <v>2.8282740294160398</v>
      </c>
      <c r="I19" s="192"/>
      <c r="J19" s="13"/>
      <c r="K19" s="2">
        <v>2.5760000000000001</v>
      </c>
      <c r="N19" s="9">
        <v>0.1807</v>
      </c>
      <c r="O19" s="10">
        <v>7.6600000000000001E-2</v>
      </c>
    </row>
    <row r="20" spans="1:15" x14ac:dyDescent="0.2">
      <c r="A20" s="190">
        <v>500</v>
      </c>
      <c r="B20" s="190"/>
      <c r="C20" s="179">
        <f>EXP(LN($C$13)+K20*LN($C$18/$C$13)/2.326)</f>
        <v>1386.6023336489918</v>
      </c>
      <c r="D20" s="179"/>
      <c r="E20" s="22"/>
      <c r="F20" s="191"/>
      <c r="G20" s="7" t="s">
        <v>18</v>
      </c>
      <c r="H20" s="192">
        <f t="shared" si="0"/>
        <v>3.0150947675911564</v>
      </c>
      <c r="I20" s="192"/>
      <c r="J20" s="13"/>
      <c r="K20" s="2">
        <v>2.8780000000000001</v>
      </c>
      <c r="N20" s="9">
        <v>0.21379999999999999</v>
      </c>
      <c r="O20" s="10">
        <v>7.7700000000000005E-2</v>
      </c>
    </row>
    <row r="21" spans="1:15" x14ac:dyDescent="0.2">
      <c r="A21" s="190">
        <v>1000</v>
      </c>
      <c r="B21" s="190"/>
      <c r="C21" s="179">
        <f>EXP(LN($C$13)+K21*LN($C$18/$C$13)/2.326)</f>
        <v>1582.6581944185168</v>
      </c>
      <c r="D21" s="179"/>
      <c r="E21" s="22"/>
      <c r="F21" s="191">
        <v>20</v>
      </c>
      <c r="G21" s="7">
        <v>1</v>
      </c>
      <c r="H21" s="192">
        <f t="shared" si="0"/>
        <v>2.0949465871752397</v>
      </c>
      <c r="I21" s="192"/>
      <c r="J21" s="13"/>
      <c r="K21" s="2">
        <v>3.09</v>
      </c>
      <c r="N21" s="9">
        <v>6.9800000000000001E-2</v>
      </c>
      <c r="O21" s="10">
        <v>7.0300000000000001E-2</v>
      </c>
    </row>
    <row r="22" spans="1:15" x14ac:dyDescent="0.2">
      <c r="A22" s="190">
        <v>5000</v>
      </c>
      <c r="B22" s="190"/>
      <c r="C22" s="179">
        <f>EXP(LN($C$13)+K22*LN($C$18/$C$13)/2.326)</f>
        <v>2095.5666522094011</v>
      </c>
      <c r="D22" s="179"/>
      <c r="E22" s="22"/>
      <c r="F22" s="191"/>
      <c r="G22" s="7">
        <v>7</v>
      </c>
      <c r="H22" s="192">
        <f t="shared" si="0"/>
        <v>2.2167149462813613</v>
      </c>
      <c r="I22" s="192"/>
      <c r="J22" s="13"/>
      <c r="K22" s="2">
        <v>3.54</v>
      </c>
      <c r="N22" s="9">
        <v>6.6199999999999995E-2</v>
      </c>
      <c r="O22" s="10">
        <v>7.2599999999999998E-2</v>
      </c>
    </row>
    <row r="23" spans="1:15" x14ac:dyDescent="0.2">
      <c r="A23" s="190">
        <v>10000</v>
      </c>
      <c r="B23" s="190"/>
      <c r="C23" s="179">
        <f>EXP(LN($C$13)+K23*LN($C$18/$C$13)/2.326)</f>
        <v>2343.1295284384532</v>
      </c>
      <c r="D23" s="179"/>
      <c r="E23" s="22"/>
      <c r="F23" s="191"/>
      <c r="G23" s="7">
        <v>30</v>
      </c>
      <c r="H23" s="192">
        <f t="shared" si="0"/>
        <v>2.6079572764215193</v>
      </c>
      <c r="I23" s="192"/>
      <c r="J23" s="13"/>
      <c r="K23" s="2">
        <v>3.7189999999999999</v>
      </c>
      <c r="N23" s="9">
        <v>0.16089999999999999</v>
      </c>
      <c r="O23" s="10">
        <v>7.4200000000000002E-2</v>
      </c>
    </row>
    <row r="24" spans="1:15" x14ac:dyDescent="0.2">
      <c r="E24" s="22"/>
      <c r="F24" s="191"/>
      <c r="G24" s="7" t="s">
        <v>18</v>
      </c>
      <c r="H24" s="192">
        <f t="shared" si="0"/>
        <v>2.7956917207974095</v>
      </c>
      <c r="I24" s="192"/>
      <c r="J24" s="13"/>
      <c r="N24" s="9">
        <v>0.19450000000000001</v>
      </c>
      <c r="O24" s="10">
        <v>7.5399999999999995E-2</v>
      </c>
    </row>
    <row r="25" spans="1:15" x14ac:dyDescent="0.2">
      <c r="A25" s="16"/>
      <c r="B25" s="17"/>
      <c r="C25" s="18"/>
      <c r="D25" s="18"/>
      <c r="K25" s="9"/>
      <c r="L25" s="10"/>
    </row>
    <row r="26" spans="1:15" x14ac:dyDescent="0.2">
      <c r="A26" s="187" t="s">
        <v>19</v>
      </c>
      <c r="B26" s="187"/>
      <c r="C26" s="187"/>
      <c r="D26" s="187"/>
      <c r="E26" s="187"/>
      <c r="F26" s="187"/>
      <c r="G26" s="187"/>
      <c r="H26" s="187"/>
      <c r="I26" s="187"/>
      <c r="J26" s="21"/>
    </row>
    <row r="28" spans="1:15" x14ac:dyDescent="0.2">
      <c r="A28" s="185" t="s">
        <v>20</v>
      </c>
      <c r="B28" s="185"/>
      <c r="C28" s="185"/>
    </row>
    <row r="29" spans="1:15" x14ac:dyDescent="0.2">
      <c r="A29" s="19" t="s">
        <v>52</v>
      </c>
      <c r="B29" s="188" t="s">
        <v>53</v>
      </c>
      <c r="C29" s="189"/>
    </row>
    <row r="30" spans="1:15" x14ac:dyDescent="0.2">
      <c r="A30" s="7" t="s">
        <v>21</v>
      </c>
      <c r="B30" s="183">
        <f>EXP(K32+L32*LN($E$7)+M32*LN($E$8)+N32*LN($E$9))</f>
        <v>13.612093726228851</v>
      </c>
      <c r="C30" s="184"/>
      <c r="K30" s="2" t="s">
        <v>37</v>
      </c>
      <c r="L30" s="2" t="s">
        <v>38</v>
      </c>
      <c r="M30" s="2" t="s">
        <v>39</v>
      </c>
      <c r="N30" s="2" t="s">
        <v>42</v>
      </c>
      <c r="O30" s="2" t="s">
        <v>43</v>
      </c>
    </row>
    <row r="31" spans="1:15" x14ac:dyDescent="0.2">
      <c r="A31" s="7" t="s">
        <v>22</v>
      </c>
      <c r="B31" s="183">
        <f>EXP(K33+L33*LN($E$7)+M33*LN($E$8)+N33*LN($E$9))</f>
        <v>11.717521362978751</v>
      </c>
      <c r="C31" s="184"/>
      <c r="K31" s="13" t="s">
        <v>33</v>
      </c>
      <c r="L31" s="13" t="s">
        <v>34</v>
      </c>
      <c r="M31" s="13" t="s">
        <v>35</v>
      </c>
      <c r="N31" s="13" t="s">
        <v>36</v>
      </c>
      <c r="O31" s="13" t="s">
        <v>44</v>
      </c>
    </row>
    <row r="32" spans="1:15" x14ac:dyDescent="0.2">
      <c r="A32" s="7" t="s">
        <v>23</v>
      </c>
      <c r="B32" s="183">
        <f>(K34+O34*SQRT($B$9))^2</f>
        <v>4.6968795131490459</v>
      </c>
      <c r="C32" s="184"/>
      <c r="K32" s="24">
        <v>-16.7</v>
      </c>
      <c r="L32" s="26">
        <v>1.36</v>
      </c>
      <c r="M32" s="26">
        <v>0.47</v>
      </c>
      <c r="N32" s="26">
        <v>0.82</v>
      </c>
      <c r="O32" s="25">
        <v>0</v>
      </c>
    </row>
    <row r="33" spans="1:15" x14ac:dyDescent="0.2">
      <c r="A33" s="7" t="s">
        <v>24</v>
      </c>
      <c r="B33" s="183">
        <f>(K35+O35*SQRT($B$9))^2</f>
        <v>4.923852118690407</v>
      </c>
      <c r="C33" s="184"/>
      <c r="K33" s="24">
        <v>-17.2</v>
      </c>
      <c r="L33" s="26">
        <v>1.42</v>
      </c>
      <c r="M33" s="26">
        <v>0.45600000000000002</v>
      </c>
      <c r="N33" s="26">
        <v>0.81399999999999995</v>
      </c>
      <c r="O33" s="25">
        <v>0</v>
      </c>
    </row>
    <row r="34" spans="1:15" x14ac:dyDescent="0.2">
      <c r="A34" s="7" t="s">
        <v>25</v>
      </c>
      <c r="B34" s="183">
        <f>(K36+O36*SQRT($B$9))^2</f>
        <v>7.1029970189680309</v>
      </c>
      <c r="C34" s="184"/>
      <c r="K34" s="24">
        <v>0.38400000000000001</v>
      </c>
      <c r="L34" s="26">
        <v>0</v>
      </c>
      <c r="M34" s="26">
        <v>0</v>
      </c>
      <c r="N34" s="26">
        <v>0</v>
      </c>
      <c r="O34" s="26">
        <v>9.0999999999999998E-2</v>
      </c>
    </row>
    <row r="35" spans="1:15" x14ac:dyDescent="0.2">
      <c r="A35" s="7" t="s">
        <v>26</v>
      </c>
      <c r="B35" s="183">
        <f t="shared" ref="B35:B41" si="1">EXP(K37+L37*LN($E$7)+M37*LN($E$8)+N37*LN($E$9))</f>
        <v>56.979136876657385</v>
      </c>
      <c r="C35" s="184"/>
      <c r="K35" s="24">
        <v>0.18099999999999999</v>
      </c>
      <c r="L35" s="26">
        <v>0</v>
      </c>
      <c r="M35" s="26">
        <v>0</v>
      </c>
      <c r="N35" s="26">
        <v>0</v>
      </c>
      <c r="O35" s="26">
        <v>0.104</v>
      </c>
    </row>
    <row r="36" spans="1:15" x14ac:dyDescent="0.2">
      <c r="A36" s="7" t="s">
        <v>27</v>
      </c>
      <c r="B36" s="183">
        <f t="shared" si="1"/>
        <v>124.66372477294237</v>
      </c>
      <c r="C36" s="184"/>
      <c r="K36" s="24">
        <v>1E-4</v>
      </c>
      <c r="L36" s="26">
        <v>0</v>
      </c>
      <c r="M36" s="26">
        <v>0</v>
      </c>
      <c r="N36" s="26">
        <v>0</v>
      </c>
      <c r="O36" s="26">
        <v>0.13600000000000001</v>
      </c>
    </row>
    <row r="37" spans="1:15" x14ac:dyDescent="0.2">
      <c r="A37" s="7" t="s">
        <v>28</v>
      </c>
      <c r="B37" s="183">
        <f t="shared" si="1"/>
        <v>164.684288066715</v>
      </c>
      <c r="C37" s="184"/>
      <c r="K37" s="24">
        <v>-19.5</v>
      </c>
      <c r="L37" s="26">
        <v>1.61</v>
      </c>
      <c r="M37" s="26">
        <v>0.70899999999999996</v>
      </c>
      <c r="N37" s="26">
        <v>0.872</v>
      </c>
      <c r="O37" s="25">
        <v>0</v>
      </c>
    </row>
    <row r="38" spans="1:15" x14ac:dyDescent="0.2">
      <c r="A38" s="7" t="s">
        <v>29</v>
      </c>
      <c r="B38" s="183">
        <f t="shared" si="1"/>
        <v>104.96227077662577</v>
      </c>
      <c r="C38" s="184"/>
      <c r="K38" s="24">
        <v>-16.3</v>
      </c>
      <c r="L38" s="26">
        <v>1.26</v>
      </c>
      <c r="M38" s="26">
        <v>0.75900000000000001</v>
      </c>
      <c r="N38" s="26">
        <v>0.88400000000000001</v>
      </c>
      <c r="O38" s="25">
        <v>0</v>
      </c>
    </row>
    <row r="39" spans="1:15" x14ac:dyDescent="0.2">
      <c r="A39" s="7" t="s">
        <v>30</v>
      </c>
      <c r="B39" s="183">
        <f t="shared" si="1"/>
        <v>51.866176504947958</v>
      </c>
      <c r="C39" s="184"/>
      <c r="K39" s="24">
        <v>-14.7</v>
      </c>
      <c r="L39" s="26">
        <v>1.24</v>
      </c>
      <c r="M39" s="26">
        <v>0.622</v>
      </c>
      <c r="N39" s="26">
        <v>0.871</v>
      </c>
      <c r="O39" s="25">
        <v>0</v>
      </c>
    </row>
    <row r="40" spans="1:15" x14ac:dyDescent="0.2">
      <c r="A40" s="7" t="s">
        <v>31</v>
      </c>
      <c r="B40" s="183">
        <f t="shared" si="1"/>
        <v>25.09214246659818</v>
      </c>
      <c r="C40" s="184"/>
      <c r="K40" s="24">
        <v>-13.7</v>
      </c>
      <c r="L40" s="26">
        <v>1.0900000000000001</v>
      </c>
      <c r="M40" s="26">
        <v>0.59399999999999997</v>
      </c>
      <c r="N40" s="26">
        <v>0.872</v>
      </c>
      <c r="O40" s="25">
        <v>0</v>
      </c>
    </row>
    <row r="41" spans="1:15" x14ac:dyDescent="0.2">
      <c r="A41" s="7" t="s">
        <v>32</v>
      </c>
      <c r="B41" s="183">
        <f t="shared" si="1"/>
        <v>17.086023351787762</v>
      </c>
      <c r="C41" s="184"/>
      <c r="K41" s="24">
        <v>-15.3</v>
      </c>
      <c r="L41" s="26">
        <v>1.21</v>
      </c>
      <c r="M41" s="26">
        <v>0.6</v>
      </c>
      <c r="N41" s="26">
        <v>0.84599999999999997</v>
      </c>
      <c r="O41" s="25">
        <v>0</v>
      </c>
    </row>
    <row r="42" spans="1:15" x14ac:dyDescent="0.2">
      <c r="A42" s="7" t="s">
        <v>20</v>
      </c>
      <c r="B42" s="183">
        <f>AVERAGE(B30:C41)</f>
        <v>48.948925546357458</v>
      </c>
      <c r="C42" s="184"/>
      <c r="K42" s="24">
        <v>-16.7</v>
      </c>
      <c r="L42" s="26">
        <v>1.36</v>
      </c>
      <c r="M42" s="26">
        <v>0.54300000000000004</v>
      </c>
      <c r="N42" s="26">
        <v>0.82599999999999996</v>
      </c>
      <c r="O42" s="25">
        <v>0</v>
      </c>
    </row>
    <row r="43" spans="1:15" x14ac:dyDescent="0.2">
      <c r="A43" s="23" t="s">
        <v>62</v>
      </c>
      <c r="B43" s="183">
        <f>MAX(B30:B41)</f>
        <v>164.684288066715</v>
      </c>
      <c r="C43" s="184"/>
      <c r="K43" s="24">
        <v>-17</v>
      </c>
      <c r="L43" s="26">
        <v>1.39</v>
      </c>
      <c r="M43" s="26">
        <v>0.504</v>
      </c>
      <c r="N43" s="26">
        <v>0.82199999999999995</v>
      </c>
      <c r="O43" s="25">
        <v>0</v>
      </c>
    </row>
    <row r="44" spans="1:15" x14ac:dyDescent="0.2">
      <c r="A44" s="23" t="s">
        <v>63</v>
      </c>
      <c r="B44" s="183">
        <f>MIN(B30:B41)</f>
        <v>4.6968795131490459</v>
      </c>
      <c r="C44" s="184"/>
      <c r="D44" s="11"/>
      <c r="E44" s="11"/>
      <c r="F44" s="11"/>
      <c r="G44" s="12"/>
      <c r="H44" s="12"/>
    </row>
    <row r="45" spans="1:15" x14ac:dyDescent="0.2">
      <c r="A45" s="2" t="s">
        <v>65</v>
      </c>
      <c r="B45" s="27">
        <f>B43/B44</f>
        <v>35.062489383786982</v>
      </c>
      <c r="C45" s="11"/>
      <c r="D45" s="11"/>
      <c r="E45" s="11"/>
      <c r="F45" s="11"/>
      <c r="G45" s="12"/>
      <c r="H45" s="12"/>
    </row>
    <row r="46" spans="1:15" x14ac:dyDescent="0.2">
      <c r="B46" s="9"/>
      <c r="C46" s="11"/>
      <c r="D46" s="11"/>
      <c r="E46" s="11"/>
      <c r="F46" s="11"/>
      <c r="G46" s="12"/>
      <c r="H46" s="12"/>
    </row>
    <row r="47" spans="1:15" x14ac:dyDescent="0.2">
      <c r="A47" s="2" t="s">
        <v>66</v>
      </c>
      <c r="B47" s="9"/>
      <c r="C47" s="11"/>
      <c r="D47" s="11"/>
      <c r="E47" s="11"/>
      <c r="F47" s="11"/>
      <c r="G47" s="12"/>
      <c r="H47" s="12"/>
    </row>
    <row r="48" spans="1:15" ht="14.25" customHeight="1" x14ac:dyDescent="0.2">
      <c r="A48" s="185" t="s">
        <v>45</v>
      </c>
      <c r="B48" s="185"/>
      <c r="C48" s="185"/>
      <c r="D48" s="185"/>
      <c r="K48" s="2" t="s">
        <v>37</v>
      </c>
      <c r="L48" s="2" t="s">
        <v>38</v>
      </c>
      <c r="M48" s="2" t="s">
        <v>39</v>
      </c>
      <c r="N48" s="2" t="s">
        <v>42</v>
      </c>
      <c r="O48" s="2" t="s">
        <v>43</v>
      </c>
    </row>
    <row r="49" spans="1:15" x14ac:dyDescent="0.2">
      <c r="A49" s="186" t="s">
        <v>46</v>
      </c>
      <c r="B49" s="186"/>
      <c r="C49" s="186" t="s">
        <v>53</v>
      </c>
      <c r="D49" s="186"/>
      <c r="K49" s="13" t="s">
        <v>33</v>
      </c>
      <c r="L49" s="13" t="s">
        <v>34</v>
      </c>
      <c r="M49" s="13" t="s">
        <v>35</v>
      </c>
      <c r="N49" s="13" t="s">
        <v>36</v>
      </c>
      <c r="O49" s="13" t="s">
        <v>44</v>
      </c>
    </row>
    <row r="50" spans="1:15" x14ac:dyDescent="0.2">
      <c r="A50" s="179">
        <v>0</v>
      </c>
      <c r="B50" s="179"/>
      <c r="C50" s="180">
        <f>($K$50+L50*SQRT($E$7)+$N$50*SQRT($E$9))^2</f>
        <v>298.16624400620458</v>
      </c>
      <c r="D50" s="180"/>
      <c r="K50" s="14">
        <v>-12.8</v>
      </c>
      <c r="L50" s="2">
        <v>0.36599999999999999</v>
      </c>
      <c r="M50" s="11">
        <v>0</v>
      </c>
      <c r="N50" s="2">
        <v>0.52900000000000003</v>
      </c>
      <c r="O50" s="11">
        <v>0</v>
      </c>
    </row>
    <row r="51" spans="1:15" x14ac:dyDescent="0.2">
      <c r="A51" s="179">
        <v>5</v>
      </c>
      <c r="B51" s="179"/>
      <c r="C51" s="180">
        <f>EXP(K51+L51*LN($E$7)+M51*LN($E$8)+N51*LN($E$9))</f>
        <v>150.73671477482205</v>
      </c>
      <c r="D51" s="180"/>
      <c r="K51" s="14">
        <v>-13.6</v>
      </c>
      <c r="L51" s="2">
        <v>1.1080000000000001</v>
      </c>
      <c r="M51" s="2">
        <v>0.60699999999999998</v>
      </c>
      <c r="N51" s="2">
        <v>0.874</v>
      </c>
      <c r="O51" s="11">
        <v>0</v>
      </c>
    </row>
    <row r="52" spans="1:15" x14ac:dyDescent="0.2">
      <c r="A52" s="179">
        <v>20</v>
      </c>
      <c r="B52" s="179"/>
      <c r="C52" s="180">
        <f>EXP(K52+L52*LN($E$7)+M52*LN($E$8)+N52*LN($E$9))</f>
        <v>98.79930760611505</v>
      </c>
      <c r="D52" s="180"/>
      <c r="K52" s="14">
        <v>-17</v>
      </c>
      <c r="L52" s="2">
        <v>1.359</v>
      </c>
      <c r="M52" s="2">
        <v>0.71599999999999997</v>
      </c>
      <c r="N52" s="2">
        <v>0.88300000000000001</v>
      </c>
      <c r="O52" s="11">
        <v>0</v>
      </c>
    </row>
    <row r="53" spans="1:15" x14ac:dyDescent="0.2">
      <c r="A53" s="181">
        <v>40</v>
      </c>
      <c r="B53" s="181"/>
      <c r="C53" s="182">
        <f>EXP(K53+L53*LN($E$7)+M53*LN($E$8)+N53*LN($E$9))</f>
        <v>36.298789812964529</v>
      </c>
      <c r="D53" s="182"/>
      <c r="K53" s="14">
        <v>-19</v>
      </c>
      <c r="L53" s="2">
        <v>1.554</v>
      </c>
      <c r="M53" s="2">
        <v>0.65600000000000003</v>
      </c>
      <c r="N53" s="2">
        <v>0.85899999999999999</v>
      </c>
      <c r="O53" s="11">
        <v>0</v>
      </c>
    </row>
    <row r="54" spans="1:15" x14ac:dyDescent="0.2">
      <c r="A54" s="179">
        <v>50</v>
      </c>
      <c r="B54" s="179"/>
      <c r="C54" s="180">
        <f>AVERAGE(C53,C55)</f>
        <v>26.84300979460647</v>
      </c>
      <c r="D54" s="180"/>
      <c r="K54" s="14"/>
      <c r="O54" s="11"/>
    </row>
    <row r="55" spans="1:15" x14ac:dyDescent="0.2">
      <c r="A55" s="179">
        <v>60</v>
      </c>
      <c r="B55" s="179"/>
      <c r="C55" s="180">
        <f>EXP(K55+L55*LN($E$7)+M55*LN($E$8)+N55*LN($E$9))</f>
        <v>17.387229776248411</v>
      </c>
      <c r="D55" s="180"/>
      <c r="K55" s="14">
        <v>-18.3</v>
      </c>
      <c r="L55" s="2">
        <v>1.5349999999999999</v>
      </c>
      <c r="M55" s="2">
        <v>0.51300000000000001</v>
      </c>
      <c r="N55" s="2">
        <v>0.83199999999999996</v>
      </c>
      <c r="O55" s="11">
        <v>0</v>
      </c>
    </row>
    <row r="56" spans="1:15" x14ac:dyDescent="0.2">
      <c r="A56" s="179">
        <v>65</v>
      </c>
      <c r="B56" s="179"/>
      <c r="C56" s="180">
        <f>AVERAGE(AVERAGE(C55,C57),C55)</f>
        <v>16.325398321077024</v>
      </c>
      <c r="D56" s="180"/>
      <c r="K56" s="14"/>
      <c r="O56" s="11"/>
    </row>
    <row r="57" spans="1:15" x14ac:dyDescent="0.2">
      <c r="A57" s="179">
        <v>80</v>
      </c>
      <c r="B57" s="179"/>
      <c r="C57" s="180">
        <f>EXP(K57+L57*LN($E$7)+M57*LN($E$8)+N57*LN($E$9))</f>
        <v>13.139903955562866</v>
      </c>
      <c r="D57" s="180"/>
      <c r="K57" s="14">
        <v>-19.399999999999999</v>
      </c>
      <c r="L57" s="2">
        <v>1.589</v>
      </c>
      <c r="M57" s="2">
        <v>0.55900000000000005</v>
      </c>
      <c r="N57" s="2">
        <v>0.83399999999999996</v>
      </c>
      <c r="O57" s="11">
        <v>0</v>
      </c>
    </row>
    <row r="58" spans="1:15" x14ac:dyDescent="0.2">
      <c r="A58" s="179">
        <v>95</v>
      </c>
      <c r="B58" s="179"/>
      <c r="C58" s="180">
        <f>EXP(K58+L58*LN($E$7)+M58*LN($E$8)+N58*LN($E$9))</f>
        <v>10.014963657737098</v>
      </c>
      <c r="D58" s="180"/>
      <c r="K58" s="14">
        <v>-21.2</v>
      </c>
      <c r="L58" s="2">
        <v>1.732</v>
      </c>
      <c r="M58" s="2">
        <v>0.59799999999999998</v>
      </c>
      <c r="N58" s="2">
        <v>0.84199999999999997</v>
      </c>
      <c r="O58" s="11">
        <v>0</v>
      </c>
    </row>
    <row r="59" spans="1:15" x14ac:dyDescent="0.2">
      <c r="A59" s="179">
        <v>100</v>
      </c>
      <c r="B59" s="179"/>
      <c r="C59" s="180">
        <f>(K59+M59*SQRT($E$8)+O59*SQRT($B$9))^2</f>
        <v>3.4924393796516449</v>
      </c>
      <c r="D59" s="180"/>
      <c r="K59" s="14">
        <v>-2.1800000000000002</v>
      </c>
      <c r="L59" s="11">
        <v>0</v>
      </c>
      <c r="M59" s="2">
        <v>4.8000000000000001E-2</v>
      </c>
      <c r="N59" s="11">
        <v>0</v>
      </c>
      <c r="O59" s="2">
        <v>7.6999999999999999E-2</v>
      </c>
    </row>
  </sheetData>
  <mergeCells count="88">
    <mergeCell ref="A1:I1"/>
    <mergeCell ref="A2:I2"/>
    <mergeCell ref="J2:K2"/>
    <mergeCell ref="L2:M2"/>
    <mergeCell ref="A10:I10"/>
    <mergeCell ref="A11:D11"/>
    <mergeCell ref="F11:I11"/>
    <mergeCell ref="A12:B12"/>
    <mergeCell ref="C12:D12"/>
    <mergeCell ref="H12:I12"/>
    <mergeCell ref="A13:B13"/>
    <mergeCell ref="C13:D13"/>
    <mergeCell ref="F13:F16"/>
    <mergeCell ref="H13:I13"/>
    <mergeCell ref="A14:B14"/>
    <mergeCell ref="C14:D14"/>
    <mergeCell ref="H14:I14"/>
    <mergeCell ref="A15:B15"/>
    <mergeCell ref="C15:D15"/>
    <mergeCell ref="H15:I15"/>
    <mergeCell ref="A16:B16"/>
    <mergeCell ref="C16:D16"/>
    <mergeCell ref="H16:I16"/>
    <mergeCell ref="A17:B17"/>
    <mergeCell ref="C17:D17"/>
    <mergeCell ref="F17:F20"/>
    <mergeCell ref="H17:I17"/>
    <mergeCell ref="A18:B18"/>
    <mergeCell ref="C18:D18"/>
    <mergeCell ref="H18:I18"/>
    <mergeCell ref="A19:B19"/>
    <mergeCell ref="C19:D19"/>
    <mergeCell ref="H19:I19"/>
    <mergeCell ref="A20:B20"/>
    <mergeCell ref="C20:D20"/>
    <mergeCell ref="H20:I20"/>
    <mergeCell ref="A21:B21"/>
    <mergeCell ref="C21:D21"/>
    <mergeCell ref="F21:F24"/>
    <mergeCell ref="H21:I21"/>
    <mergeCell ref="A22:B22"/>
    <mergeCell ref="C22:D22"/>
    <mergeCell ref="H22:I22"/>
    <mergeCell ref="A23:B23"/>
    <mergeCell ref="C23:D23"/>
    <mergeCell ref="H23:I23"/>
    <mergeCell ref="H24:I24"/>
    <mergeCell ref="A26:I26"/>
    <mergeCell ref="A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A48:D48"/>
    <mergeCell ref="A49:B49"/>
    <mergeCell ref="C49:D4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55:B55"/>
    <mergeCell ref="C55:D55"/>
    <mergeCell ref="A59:B59"/>
    <mergeCell ref="C59:D59"/>
    <mergeCell ref="A56:B56"/>
    <mergeCell ref="C56:D56"/>
    <mergeCell ref="A57:B57"/>
    <mergeCell ref="C57:D57"/>
    <mergeCell ref="A58:B58"/>
    <mergeCell ref="C58:D58"/>
  </mergeCells>
  <pageMargins left="0.75" right="0.75" top="1" bottom="1" header="0.5" footer="0.5"/>
  <pageSetup paperSize="9" scale="67" orientation="portrait" r:id="rId1"/>
  <headerFooter alignWithMargins="0">
    <oddFooter>&amp;L&amp;8&amp;Z&amp;F&amp;R&amp;8&amp;P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63"/>
  <sheetViews>
    <sheetView topLeftCell="A16" zoomScaleNormal="100" zoomScaleSheetLayoutView="100" zoomScalePageLayoutView="80" workbookViewId="0">
      <selection activeCell="E12" sqref="E12:F12"/>
    </sheetView>
  </sheetViews>
  <sheetFormatPr defaultRowHeight="15" x14ac:dyDescent="0.3"/>
  <cols>
    <col min="1" max="1" width="9.140625" style="92"/>
    <col min="2" max="2" width="11.140625" style="92" customWidth="1"/>
    <col min="3" max="3" width="22.140625" style="92" customWidth="1"/>
    <col min="4" max="4" width="12.5703125" style="92" customWidth="1"/>
    <col min="5" max="5" width="12.140625" style="92" customWidth="1"/>
    <col min="6" max="7" width="9.140625" style="92"/>
    <col min="8" max="8" width="16.7109375" style="92" bestFit="1" customWidth="1"/>
    <col min="9" max="16384" width="9.140625" style="92"/>
  </cols>
  <sheetData>
    <row r="1" spans="1:9" s="91" customFormat="1" ht="21.75" x14ac:dyDescent="0.45">
      <c r="A1" s="150" t="s">
        <v>5</v>
      </c>
      <c r="B1" s="150"/>
      <c r="C1" s="150"/>
      <c r="D1" s="150"/>
      <c r="E1" s="150"/>
      <c r="F1" s="150"/>
      <c r="G1" s="150"/>
      <c r="H1" s="150"/>
      <c r="I1" s="150"/>
    </row>
    <row r="2" spans="1:9" s="91" customFormat="1" ht="15.6" customHeight="1" x14ac:dyDescent="0.3">
      <c r="A2" s="94" t="s">
        <v>6</v>
      </c>
      <c r="B2" s="95" t="s">
        <v>98</v>
      </c>
      <c r="C2" s="95"/>
      <c r="D2" s="95"/>
      <c r="E2" s="96"/>
      <c r="F2" s="95"/>
      <c r="G2" s="95"/>
      <c r="H2" s="95"/>
    </row>
    <row r="3" spans="1:9" s="91" customFormat="1" ht="15.6" customHeight="1" x14ac:dyDescent="0.3">
      <c r="A3" s="94" t="s">
        <v>8</v>
      </c>
      <c r="B3" s="95" t="s">
        <v>54</v>
      </c>
      <c r="C3" s="95"/>
      <c r="D3" s="95"/>
      <c r="E3" s="96"/>
      <c r="F3" s="95"/>
      <c r="G3" s="95"/>
      <c r="H3" s="95"/>
    </row>
    <row r="4" spans="1:9" ht="15.6" customHeight="1" x14ac:dyDescent="0.3">
      <c r="A4" s="200" t="s">
        <v>12</v>
      </c>
      <c r="B4" s="200"/>
      <c r="C4" s="200"/>
      <c r="D4" s="200"/>
      <c r="E4" s="200"/>
      <c r="F4" s="200"/>
      <c r="G4" s="95"/>
      <c r="H4" s="95"/>
    </row>
    <row r="5" spans="1:9" ht="14.25" customHeight="1" x14ac:dyDescent="0.3">
      <c r="A5" s="201" t="s">
        <v>13</v>
      </c>
      <c r="B5" s="201"/>
      <c r="C5" s="202" t="s">
        <v>92</v>
      </c>
      <c r="D5" s="202"/>
      <c r="E5" s="202"/>
      <c r="F5" s="202"/>
      <c r="G5" s="95"/>
      <c r="H5" s="95"/>
    </row>
    <row r="6" spans="1:9" ht="14.25" customHeight="1" x14ac:dyDescent="0.3">
      <c r="A6" s="201"/>
      <c r="B6" s="201"/>
      <c r="C6" s="201" t="s">
        <v>71</v>
      </c>
      <c r="D6" s="201"/>
      <c r="E6" s="201" t="s">
        <v>64</v>
      </c>
      <c r="F6" s="201"/>
      <c r="G6" s="95"/>
      <c r="H6" s="95"/>
    </row>
    <row r="7" spans="1:9" ht="14.25" customHeight="1" x14ac:dyDescent="0.3">
      <c r="A7" s="166">
        <f>'Modified HYDEST'!A11</f>
        <v>2</v>
      </c>
      <c r="B7" s="166"/>
      <c r="C7" s="198">
        <f>'Modified HYDEST'!$C$11</f>
        <v>88.770810795810661</v>
      </c>
      <c r="D7" s="198"/>
      <c r="E7" s="198">
        <f>HYDEST!B13</f>
        <v>79.61903001210807</v>
      </c>
      <c r="F7" s="198"/>
      <c r="G7" s="95"/>
      <c r="H7" s="95"/>
    </row>
    <row r="8" spans="1:9" ht="14.25" customHeight="1" x14ac:dyDescent="0.3">
      <c r="A8" s="166">
        <f>'Modified HYDEST'!A12</f>
        <v>5</v>
      </c>
      <c r="B8" s="166"/>
      <c r="C8" s="198">
        <f>'Modified HYDEST'!$C$12</f>
        <v>158.77443711771983</v>
      </c>
      <c r="D8" s="198"/>
      <c r="E8" s="198">
        <f>HYDEST!B14</f>
        <v>134.0278521184145</v>
      </c>
      <c r="F8" s="198"/>
      <c r="G8" s="95"/>
      <c r="H8" s="97"/>
    </row>
    <row r="9" spans="1:9" ht="14.25" customHeight="1" x14ac:dyDescent="0.3">
      <c r="A9" s="166">
        <f>'Modified HYDEST'!A13</f>
        <v>10</v>
      </c>
      <c r="B9" s="166"/>
      <c r="C9" s="198">
        <f>'Modified HYDEST'!$C$13</f>
        <v>215.14623844563965</v>
      </c>
      <c r="D9" s="198"/>
      <c r="E9" s="198">
        <f>HYDEST!B15</f>
        <v>175.949456069116</v>
      </c>
      <c r="F9" s="198"/>
      <c r="G9" s="95"/>
      <c r="H9" s="95"/>
    </row>
    <row r="10" spans="1:9" ht="14.25" customHeight="1" x14ac:dyDescent="0.3">
      <c r="A10" s="166">
        <f>'Modified HYDEST'!A14</f>
        <v>20</v>
      </c>
      <c r="B10" s="166"/>
      <c r="C10" s="198">
        <f>'Modified HYDEST'!$C$14</f>
        <v>276.43633554842319</v>
      </c>
      <c r="D10" s="198"/>
      <c r="E10" s="198">
        <f>HYDEST!B16</f>
        <v>220.24043034979033</v>
      </c>
      <c r="F10" s="198"/>
      <c r="G10" s="95"/>
      <c r="H10" s="95"/>
    </row>
    <row r="11" spans="1:9" ht="14.25" customHeight="1" x14ac:dyDescent="0.3">
      <c r="A11" s="166">
        <f>'Modified HYDEST'!A15</f>
        <v>50</v>
      </c>
      <c r="B11" s="166"/>
      <c r="C11" s="198">
        <f>'Modified HYDEST'!$C$15</f>
        <v>366.64992621886978</v>
      </c>
      <c r="D11" s="198"/>
      <c r="E11" s="198">
        <f>HYDEST!B17</f>
        <v>283.63687562710169</v>
      </c>
      <c r="F11" s="198"/>
      <c r="G11" s="95"/>
      <c r="H11" s="95"/>
    </row>
    <row r="12" spans="1:9" ht="14.25" customHeight="1" x14ac:dyDescent="0.3">
      <c r="A12" s="166">
        <f>'Modified HYDEST'!A16</f>
        <v>100</v>
      </c>
      <c r="B12" s="166"/>
      <c r="C12" s="198">
        <f>'Modified HYDEST'!$C$16</f>
        <v>442.40767842083233</v>
      </c>
      <c r="D12" s="198"/>
      <c r="E12" s="198">
        <f>HYDEST!B18</f>
        <v>335.60419172471455</v>
      </c>
      <c r="F12" s="198"/>
      <c r="G12" s="95"/>
      <c r="H12" s="95"/>
    </row>
    <row r="13" spans="1:9" ht="14.25" customHeight="1" x14ac:dyDescent="0.3">
      <c r="A13" s="166">
        <f>'Modified HYDEST'!A17</f>
        <v>200</v>
      </c>
      <c r="B13" s="166"/>
      <c r="C13" s="198">
        <f>'Modified HYDEST'!$C$17</f>
        <v>525.77030172049911</v>
      </c>
      <c r="D13" s="198"/>
      <c r="E13" s="198">
        <f>HYDEST!B19</f>
        <v>391.72601703783471</v>
      </c>
      <c r="F13" s="198"/>
      <c r="G13" s="95"/>
      <c r="H13" s="95"/>
    </row>
    <row r="14" spans="1:9" ht="14.25" customHeight="1" x14ac:dyDescent="0.3">
      <c r="A14" s="166">
        <f>'Modified HYDEST'!A18</f>
        <v>500</v>
      </c>
      <c r="B14" s="166"/>
      <c r="C14" s="198">
        <f>'Modified HYDEST'!$C$18</f>
        <v>647.68510963561596</v>
      </c>
      <c r="D14" s="198"/>
      <c r="E14" s="198">
        <f>HYDEST!B20</f>
        <v>472.1779533277778</v>
      </c>
      <c r="F14" s="198"/>
      <c r="G14" s="95"/>
      <c r="H14" s="95"/>
    </row>
    <row r="15" spans="1:9" ht="14.25" customHeight="1" x14ac:dyDescent="0.3">
      <c r="A15" s="166">
        <f>'Modified HYDEST'!A19</f>
        <v>1000</v>
      </c>
      <c r="B15" s="166"/>
      <c r="C15" s="198">
        <f>'Modified HYDEST'!$C$19</f>
        <v>749.79294869672253</v>
      </c>
      <c r="D15" s="198"/>
      <c r="E15" s="198">
        <f>HYDEST!B21</f>
        <v>538.3356978452789</v>
      </c>
      <c r="F15" s="198"/>
      <c r="G15" s="95"/>
      <c r="H15" s="95"/>
    </row>
    <row r="16" spans="1:9" ht="14.25" customHeight="1" x14ac:dyDescent="0.3">
      <c r="A16" s="166">
        <f>'Modified HYDEST'!A20</f>
        <v>5000</v>
      </c>
      <c r="B16" s="166"/>
      <c r="C16" s="198">
        <f>'Modified HYDEST'!$C$20</f>
        <v>1023.0419992609825</v>
      </c>
      <c r="D16" s="198"/>
      <c r="E16" s="198">
        <f>HYDEST!B22</f>
        <v>711.10257599196973</v>
      </c>
      <c r="F16" s="198"/>
      <c r="G16" s="95"/>
      <c r="H16" s="95"/>
    </row>
    <row r="17" spans="1:8" ht="14.25" customHeight="1" x14ac:dyDescent="0.3">
      <c r="A17" s="200" t="s">
        <v>15</v>
      </c>
      <c r="B17" s="200"/>
      <c r="C17" s="200"/>
      <c r="D17" s="200"/>
      <c r="E17" s="200"/>
      <c r="F17" s="200"/>
      <c r="G17" s="200"/>
      <c r="H17" s="95"/>
    </row>
    <row r="18" spans="1:8" ht="14.25" customHeight="1" x14ac:dyDescent="0.3">
      <c r="A18" s="201" t="s">
        <v>13</v>
      </c>
      <c r="B18" s="201"/>
      <c r="C18" s="201" t="s">
        <v>17</v>
      </c>
      <c r="D18" s="202" t="s">
        <v>93</v>
      </c>
      <c r="E18" s="202"/>
      <c r="F18" s="202"/>
      <c r="G18" s="202"/>
      <c r="H18" s="95"/>
    </row>
    <row r="19" spans="1:8" ht="21" customHeight="1" x14ac:dyDescent="0.3">
      <c r="A19" s="201"/>
      <c r="B19" s="201"/>
      <c r="C19" s="201"/>
      <c r="D19" s="201" t="s">
        <v>97</v>
      </c>
      <c r="E19" s="201"/>
      <c r="F19" s="201" t="s">
        <v>64</v>
      </c>
      <c r="G19" s="201"/>
      <c r="H19" s="95"/>
    </row>
    <row r="20" spans="1:8" ht="14.25" customHeight="1" x14ac:dyDescent="0.3">
      <c r="A20" s="166">
        <f>'Modified HYDEST'!F11</f>
        <v>2</v>
      </c>
      <c r="B20" s="166"/>
      <c r="C20" s="98">
        <f>'Modified HYDEST'!G11</f>
        <v>1</v>
      </c>
      <c r="D20" s="198">
        <f>'Modified HYDEST'!H11</f>
        <v>1.9451538251134437</v>
      </c>
      <c r="E20" s="198"/>
      <c r="F20" s="198">
        <f>HYDEST!G13</f>
        <v>1.5611761634927264</v>
      </c>
      <c r="G20" s="198"/>
      <c r="H20" s="95"/>
    </row>
    <row r="21" spans="1:8" ht="14.25" customHeight="1" x14ac:dyDescent="0.3">
      <c r="A21" s="166"/>
      <c r="B21" s="166"/>
      <c r="C21" s="98">
        <f>'Modified HYDEST'!G12</f>
        <v>7</v>
      </c>
      <c r="D21" s="198">
        <f>'Modified HYDEST'!H12</f>
        <v>2.0684503132333072</v>
      </c>
      <c r="E21" s="198"/>
      <c r="F21" s="198">
        <f>HYDEST!G14</f>
        <v>1.6463746712628502</v>
      </c>
      <c r="G21" s="198"/>
      <c r="H21" s="95"/>
    </row>
    <row r="22" spans="1:8" ht="14.25" customHeight="1" x14ac:dyDescent="0.3">
      <c r="A22" s="166"/>
      <c r="B22" s="166"/>
      <c r="C22" s="98">
        <f>'Modified HYDEST'!G13</f>
        <v>30</v>
      </c>
      <c r="D22" s="198">
        <f>'Modified HYDEST'!H13</f>
        <v>2.3696530440499952</v>
      </c>
      <c r="E22" s="198"/>
      <c r="F22" s="198">
        <f>HYDEST!G15</f>
        <v>1.930555766132195</v>
      </c>
      <c r="G22" s="198"/>
      <c r="H22" s="95"/>
    </row>
    <row r="23" spans="1:8" ht="14.25" customHeight="1" x14ac:dyDescent="0.3">
      <c r="A23" s="166"/>
      <c r="B23" s="166"/>
      <c r="C23" s="99" t="str">
        <f>'Modified HYDEST'!G14</f>
        <v>Monthly</v>
      </c>
      <c r="D23" s="198">
        <f>'Modified HYDEST'!H14</f>
        <v>2.5127226397488593</v>
      </c>
      <c r="E23" s="198"/>
      <c r="F23" s="198">
        <f>HYDEST!G16</f>
        <v>2.0693636833568241</v>
      </c>
      <c r="G23" s="198"/>
      <c r="H23" s="95"/>
    </row>
    <row r="24" spans="1:8" ht="14.25" customHeight="1" x14ac:dyDescent="0.3">
      <c r="A24" s="166">
        <f>'Modified HYDEST'!F15</f>
        <v>10</v>
      </c>
      <c r="B24" s="166"/>
      <c r="C24" s="98">
        <f>'Modified HYDEST'!G15</f>
        <v>1</v>
      </c>
      <c r="D24" s="198">
        <f>'Modified HYDEST'!H15</f>
        <v>1.3033464980517386</v>
      </c>
      <c r="E24" s="198"/>
      <c r="F24" s="198">
        <f>HYDEST!G17</f>
        <v>0.96483506425578935</v>
      </c>
      <c r="G24" s="198"/>
      <c r="H24" s="95"/>
    </row>
    <row r="25" spans="1:8" ht="14.25" customHeight="1" x14ac:dyDescent="0.3">
      <c r="A25" s="166"/>
      <c r="B25" s="166"/>
      <c r="C25" s="98">
        <f>'Modified HYDEST'!G16</f>
        <v>7</v>
      </c>
      <c r="D25" s="198">
        <f>'Modified HYDEST'!H16</f>
        <v>1.3812311980050935</v>
      </c>
      <c r="E25" s="198"/>
      <c r="F25" s="198">
        <f>HYDEST!G18</f>
        <v>1.0855474043133682</v>
      </c>
      <c r="G25" s="198"/>
      <c r="H25" s="95"/>
    </row>
    <row r="26" spans="1:8" ht="14.25" customHeight="1" x14ac:dyDescent="0.3">
      <c r="A26" s="166"/>
      <c r="B26" s="166"/>
      <c r="C26" s="98">
        <f>'Modified HYDEST'!G17</f>
        <v>30</v>
      </c>
      <c r="D26" s="198">
        <f>'Modified HYDEST'!H17</f>
        <v>1.6641661323657047</v>
      </c>
      <c r="E26" s="198"/>
      <c r="F26" s="198">
        <f>HYDEST!G19</f>
        <v>1.3672337142134143</v>
      </c>
      <c r="G26" s="198"/>
      <c r="H26" s="95"/>
    </row>
    <row r="27" spans="1:8" ht="14.25" customHeight="1" x14ac:dyDescent="0.3">
      <c r="A27" s="166"/>
      <c r="B27" s="166"/>
      <c r="C27" s="99" t="str">
        <f>'Modified HYDEST'!G18</f>
        <v>Monthly</v>
      </c>
      <c r="D27" s="198">
        <f>'Modified HYDEST'!H18</f>
        <v>1.7930706928708755</v>
      </c>
      <c r="E27" s="198"/>
      <c r="F27" s="198">
        <f>HYDEST!G20</f>
        <v>1.4969835375653531</v>
      </c>
      <c r="G27" s="198"/>
      <c r="H27" s="95"/>
    </row>
    <row r="28" spans="1:8" ht="14.25" customHeight="1" x14ac:dyDescent="0.3">
      <c r="A28" s="166">
        <f>'Modified HYDEST'!F19</f>
        <v>20</v>
      </c>
      <c r="B28" s="166"/>
      <c r="C28" s="98">
        <f>'Modified HYDEST'!G19</f>
        <v>1</v>
      </c>
      <c r="D28" s="198">
        <f>'Modified HYDEST'!H19</f>
        <v>1.1835017537384016</v>
      </c>
      <c r="E28" s="198"/>
      <c r="F28" s="198">
        <f>HYDEST!G21</f>
        <v>0.81721935731921114</v>
      </c>
      <c r="G28" s="198"/>
      <c r="H28" s="95"/>
    </row>
    <row r="29" spans="1:8" ht="14.25" customHeight="1" x14ac:dyDescent="0.3">
      <c r="A29" s="166"/>
      <c r="B29" s="166"/>
      <c r="C29" s="98">
        <f>'Modified HYDEST'!G20</f>
        <v>7</v>
      </c>
      <c r="D29" s="198">
        <f>'Modified HYDEST'!H20</f>
        <v>1.2490239506905394</v>
      </c>
      <c r="E29" s="198"/>
      <c r="F29" s="198">
        <f>HYDEST!G22</f>
        <v>0.96391510378248357</v>
      </c>
      <c r="G29" s="198"/>
      <c r="H29" s="95"/>
    </row>
    <row r="30" spans="1:8" ht="14.25" customHeight="1" x14ac:dyDescent="0.3">
      <c r="A30" s="166"/>
      <c r="B30" s="166"/>
      <c r="C30" s="98">
        <f>'Modified HYDEST'!G21</f>
        <v>30</v>
      </c>
      <c r="D30" s="198">
        <f>'Modified HYDEST'!H21</f>
        <v>1.5263828927907157</v>
      </c>
      <c r="E30" s="198"/>
      <c r="F30" s="198">
        <f>HYDEST!G23</f>
        <v>1.2501284465201525</v>
      </c>
      <c r="G30" s="198"/>
      <c r="H30" s="95"/>
    </row>
    <row r="31" spans="1:8" ht="14.25" customHeight="1" x14ac:dyDescent="0.3">
      <c r="A31" s="166"/>
      <c r="B31" s="166"/>
      <c r="C31" s="99" t="str">
        <f>'Modified HYDEST'!G22</f>
        <v>Monthly</v>
      </c>
      <c r="D31" s="198">
        <f>'Modified HYDEST'!H22</f>
        <v>1.6549463032098952</v>
      </c>
      <c r="E31" s="198"/>
      <c r="F31" s="198">
        <f>HYDEST!G24</f>
        <v>1.3734910927710986</v>
      </c>
      <c r="G31" s="198"/>
      <c r="H31" s="95"/>
    </row>
    <row r="32" spans="1:8" ht="14.25" customHeight="1" x14ac:dyDescent="0.3">
      <c r="A32" s="204" t="s">
        <v>20</v>
      </c>
      <c r="B32" s="204"/>
      <c r="C32" s="204"/>
      <c r="D32" s="204"/>
      <c r="E32" s="204"/>
      <c r="F32" s="204"/>
      <c r="G32" s="95"/>
      <c r="H32" s="95"/>
    </row>
    <row r="33" spans="1:8" ht="14.25" customHeight="1" x14ac:dyDescent="0.3">
      <c r="A33" s="100"/>
      <c r="B33" s="101"/>
      <c r="C33" s="203" t="s">
        <v>94</v>
      </c>
      <c r="D33" s="200"/>
      <c r="E33" s="200"/>
      <c r="F33" s="200"/>
      <c r="G33" s="200"/>
      <c r="H33" s="95"/>
    </row>
    <row r="34" spans="1:8" ht="32.25" customHeight="1" x14ac:dyDescent="0.3">
      <c r="A34" s="201" t="s">
        <v>52</v>
      </c>
      <c r="B34" s="201"/>
      <c r="C34" s="93" t="s">
        <v>72</v>
      </c>
      <c r="D34" s="102" t="s">
        <v>64</v>
      </c>
      <c r="E34" s="98" t="s">
        <v>73</v>
      </c>
      <c r="F34" s="103"/>
      <c r="G34" s="95"/>
      <c r="H34" s="95"/>
    </row>
    <row r="35" spans="1:8" ht="14.25" customHeight="1" x14ac:dyDescent="0.3">
      <c r="A35" s="166" t="str">
        <f>'Modified HYDEST'!A28</f>
        <v>January</v>
      </c>
      <c r="B35" s="166"/>
      <c r="C35" s="104">
        <f>'Modified HYDEST'!B28</f>
        <v>4.760066064191304</v>
      </c>
      <c r="D35" s="104">
        <f>HYDEST!B29</f>
        <v>2.6614123586193146</v>
      </c>
      <c r="E35" s="105">
        <f>'[2]data-results'!B17</f>
        <v>2.0392602667988031</v>
      </c>
      <c r="F35" s="106"/>
      <c r="G35" s="95"/>
      <c r="H35" s="95"/>
    </row>
    <row r="36" spans="1:8" ht="14.25" customHeight="1" x14ac:dyDescent="0.3">
      <c r="A36" s="166" t="str">
        <f>'Modified HYDEST'!A29</f>
        <v>February</v>
      </c>
      <c r="B36" s="166"/>
      <c r="C36" s="104">
        <f>'Modified HYDEST'!B29</f>
        <v>4.1153252791227652</v>
      </c>
      <c r="D36" s="104">
        <f>HYDEST!B30</f>
        <v>2.2664955764769563</v>
      </c>
      <c r="E36" s="105">
        <f>'[2]data-results'!B18</f>
        <v>2.485436984549255</v>
      </c>
      <c r="F36" s="106"/>
      <c r="G36" s="95"/>
      <c r="H36" s="95"/>
    </row>
    <row r="37" spans="1:8" ht="14.25" customHeight="1" x14ac:dyDescent="0.3">
      <c r="A37" s="166" t="str">
        <f>'Modified HYDEST'!A30</f>
        <v>March</v>
      </c>
      <c r="B37" s="166"/>
      <c r="C37" s="104">
        <f>'Modified HYDEST'!B30</f>
        <v>2.8963521900565534</v>
      </c>
      <c r="D37" s="104">
        <f>HYDEST!B31</f>
        <v>2.0470173503650257</v>
      </c>
      <c r="E37" s="105">
        <f>'[2]data-results'!B19</f>
        <v>2.8315124973843138</v>
      </c>
      <c r="F37" s="106"/>
      <c r="G37" s="95"/>
      <c r="H37" s="95"/>
    </row>
    <row r="38" spans="1:8" ht="14.25" customHeight="1" x14ac:dyDescent="0.3">
      <c r="A38" s="166" t="str">
        <f>'Modified HYDEST'!A31</f>
        <v>April</v>
      </c>
      <c r="B38" s="166"/>
      <c r="C38" s="104">
        <f>'Modified HYDEST'!B31</f>
        <v>2.84642119449475</v>
      </c>
      <c r="D38" s="104">
        <f>HYDEST!B32</f>
        <v>2.1207266573195973</v>
      </c>
      <c r="E38" s="105">
        <f>'[2]data-results'!B20</f>
        <v>8.7398709904191865</v>
      </c>
      <c r="F38" s="106"/>
      <c r="G38" s="95"/>
      <c r="H38" s="95"/>
    </row>
    <row r="39" spans="1:8" ht="14.25" customHeight="1" x14ac:dyDescent="0.3">
      <c r="A39" s="166" t="str">
        <f>'Modified HYDEST'!A32</f>
        <v>May</v>
      </c>
      <c r="B39" s="166"/>
      <c r="C39" s="104">
        <f>'Modified HYDEST'!B32</f>
        <v>3.8795600019739238</v>
      </c>
      <c r="D39" s="104">
        <f>HYDEST!B33</f>
        <v>2.873628297271031</v>
      </c>
      <c r="E39" s="105">
        <f>'[2]data-results'!B21</f>
        <v>25.413589966377316</v>
      </c>
      <c r="F39" s="106"/>
      <c r="G39" s="95"/>
      <c r="H39" s="95"/>
    </row>
    <row r="40" spans="1:8" ht="14.25" customHeight="1" x14ac:dyDescent="0.3">
      <c r="A40" s="166" t="str">
        <f>'Modified HYDEST'!A33</f>
        <v>June</v>
      </c>
      <c r="B40" s="166"/>
      <c r="C40" s="104">
        <f>'Modified HYDEST'!B33</f>
        <v>18.011077543691648</v>
      </c>
      <c r="D40" s="104">
        <f>HYDEST!B34</f>
        <v>11.45956421975092</v>
      </c>
      <c r="E40" s="105">
        <f>'[2]data-results'!B22</f>
        <v>30.45827526139448</v>
      </c>
      <c r="F40" s="106"/>
      <c r="G40" s="95"/>
      <c r="H40" s="95"/>
    </row>
    <row r="41" spans="1:8" ht="14.25" customHeight="1" x14ac:dyDescent="0.3">
      <c r="A41" s="166" t="str">
        <f>'Modified HYDEST'!A34</f>
        <v>July</v>
      </c>
      <c r="B41" s="166"/>
      <c r="C41" s="104">
        <f>'Modified HYDEST'!B34</f>
        <v>39.557154561935363</v>
      </c>
      <c r="D41" s="104">
        <f>HYDEST!B35</f>
        <v>33.852229829461621</v>
      </c>
      <c r="E41" s="105">
        <f>'[2]data-results'!B23</f>
        <v>23.775112252600383</v>
      </c>
      <c r="F41" s="106"/>
      <c r="G41" s="95"/>
      <c r="H41" s="95"/>
    </row>
    <row r="42" spans="1:8" ht="14.25" customHeight="1" x14ac:dyDescent="0.3">
      <c r="A42" s="166" t="str">
        <f>'Modified HYDEST'!A35</f>
        <v>August</v>
      </c>
      <c r="B42" s="166"/>
      <c r="C42" s="104">
        <f>'Modified HYDEST'!B35</f>
        <v>53.914218540194533</v>
      </c>
      <c r="D42" s="104">
        <f>HYDEST!B36</f>
        <v>40.887286136279357</v>
      </c>
      <c r="E42" s="105">
        <f>'[2]data-results'!B24</f>
        <v>11.212901396579072</v>
      </c>
      <c r="F42" s="106"/>
      <c r="G42" s="95"/>
      <c r="H42" s="95"/>
    </row>
    <row r="43" spans="1:8" ht="14.25" customHeight="1" x14ac:dyDescent="0.3">
      <c r="A43" s="166" t="str">
        <f>'Modified HYDEST'!A36</f>
        <v>September</v>
      </c>
      <c r="B43" s="166"/>
      <c r="C43" s="104">
        <f>'Modified HYDEST'!B36</f>
        <v>34.77148711771499</v>
      </c>
      <c r="D43" s="104">
        <f>HYDEST!B37</f>
        <v>31.736210258884618</v>
      </c>
      <c r="E43" s="105">
        <f>'[2]data-results'!B25</f>
        <v>5.4149116385490847</v>
      </c>
      <c r="F43" s="106"/>
      <c r="G43" s="95"/>
      <c r="H43" s="95"/>
    </row>
    <row r="44" spans="1:8" ht="14.25" customHeight="1" x14ac:dyDescent="0.3">
      <c r="A44" s="166" t="str">
        <f>'Modified HYDEST'!A37</f>
        <v>October</v>
      </c>
      <c r="B44" s="166"/>
      <c r="C44" s="104">
        <f>'Modified HYDEST'!B37</f>
        <v>17.534794166870796</v>
      </c>
      <c r="D44" s="104">
        <f>HYDEST!B38</f>
        <v>13.673823037617911</v>
      </c>
      <c r="E44" s="105">
        <f>'[2]data-results'!B26</f>
        <v>3.5043335490893193</v>
      </c>
      <c r="F44" s="106"/>
      <c r="G44" s="95"/>
      <c r="H44" s="95"/>
    </row>
    <row r="45" spans="1:8" ht="14.25" customHeight="1" x14ac:dyDescent="0.3">
      <c r="A45" s="166" t="str">
        <f>'Modified HYDEST'!A38</f>
        <v>November</v>
      </c>
      <c r="B45" s="166"/>
      <c r="C45" s="104">
        <f>'Modified HYDEST'!B38</f>
        <v>8.6445960376944324</v>
      </c>
      <c r="D45" s="104">
        <f>HYDEST!B39</f>
        <v>6.6067467441726491</v>
      </c>
      <c r="E45" s="105">
        <f>'[2]data-results'!B27</f>
        <v>10.067237253779462</v>
      </c>
      <c r="F45" s="106"/>
      <c r="G45" s="109"/>
      <c r="H45" s="109"/>
    </row>
    <row r="46" spans="1:8" ht="14.25" customHeight="1" x14ac:dyDescent="0.3">
      <c r="A46" s="166" t="str">
        <f>'Modified HYDEST'!A39</f>
        <v>December</v>
      </c>
      <c r="B46" s="166"/>
      <c r="C46" s="104">
        <f>'Modified HYDEST'!B39</f>
        <v>5.9271303154154777</v>
      </c>
      <c r="D46" s="104">
        <f>HYDEST!B40</f>
        <v>4.2375028203572507</v>
      </c>
      <c r="E46" s="105">
        <f>'[2]data-results'!B28</f>
        <v>0</v>
      </c>
      <c r="F46" s="106"/>
      <c r="G46" s="109"/>
      <c r="H46" s="109"/>
    </row>
    <row r="47" spans="1:8" ht="14.25" customHeight="1" x14ac:dyDescent="0.3">
      <c r="A47" s="202" t="s">
        <v>96</v>
      </c>
      <c r="B47" s="202"/>
      <c r="C47" s="107">
        <f>AVERAGE(C35:C46)</f>
        <v>16.40484858444638</v>
      </c>
      <c r="D47" s="107">
        <f>AVERAGE(D35:D46)</f>
        <v>12.868553607214691</v>
      </c>
      <c r="E47" s="107">
        <f>AVERAGE(E35:E46)</f>
        <v>10.495203504793389</v>
      </c>
      <c r="F47" s="108"/>
      <c r="G47" s="199"/>
      <c r="H47" s="199"/>
    </row>
    <row r="48" spans="1:8" s="32" customFormat="1" ht="14.25" customHeight="1" x14ac:dyDescent="0.35">
      <c r="A48" s="204" t="s">
        <v>45</v>
      </c>
      <c r="B48" s="204"/>
      <c r="C48" s="204"/>
      <c r="D48" s="204"/>
      <c r="E48" s="204"/>
      <c r="F48" s="204"/>
      <c r="G48" s="109"/>
      <c r="H48" s="109"/>
    </row>
    <row r="49" spans="1:8" s="32" customFormat="1" ht="14.25" customHeight="1" x14ac:dyDescent="0.35">
      <c r="A49" s="206" t="s">
        <v>46</v>
      </c>
      <c r="B49" s="206"/>
      <c r="C49" s="165" t="s">
        <v>91</v>
      </c>
      <c r="D49" s="165"/>
      <c r="E49" s="165"/>
      <c r="F49" s="176"/>
      <c r="G49" s="109"/>
      <c r="H49" s="109"/>
    </row>
    <row r="50" spans="1:8" s="32" customFormat="1" ht="22.5" customHeight="1" x14ac:dyDescent="0.35">
      <c r="A50" s="206"/>
      <c r="B50" s="206"/>
      <c r="C50" s="201" t="s">
        <v>68</v>
      </c>
      <c r="D50" s="201"/>
      <c r="E50" s="201" t="s">
        <v>64</v>
      </c>
      <c r="F50" s="201"/>
      <c r="G50" s="95"/>
      <c r="H50" s="95"/>
    </row>
    <row r="51" spans="1:8" s="32" customFormat="1" ht="14.25" customHeight="1" x14ac:dyDescent="0.35">
      <c r="A51" s="167">
        <f>'Modified HYDEST'!A48</f>
        <v>0</v>
      </c>
      <c r="B51" s="167"/>
      <c r="C51" s="198">
        <f>'Modified HYDEST'!C48</f>
        <v>176.00841783703962</v>
      </c>
      <c r="D51" s="198"/>
      <c r="E51" s="198">
        <f>HYDEST!C48</f>
        <v>83.036786424107987</v>
      </c>
      <c r="F51" s="198"/>
      <c r="G51" s="95"/>
      <c r="H51" s="95"/>
    </row>
    <row r="52" spans="1:8" s="32" customFormat="1" ht="14.25" customHeight="1" x14ac:dyDescent="0.35">
      <c r="A52" s="167">
        <f>'Modified HYDEST'!A49</f>
        <v>5</v>
      </c>
      <c r="B52" s="167"/>
      <c r="C52" s="198">
        <f>'Modified HYDEST'!C49</f>
        <v>49.693258461696381</v>
      </c>
      <c r="D52" s="198"/>
      <c r="E52" s="198">
        <f>HYDEST!C49</f>
        <v>46.631544513477145</v>
      </c>
      <c r="F52" s="198"/>
      <c r="G52" s="95"/>
      <c r="H52" s="95"/>
    </row>
    <row r="53" spans="1:8" s="32" customFormat="1" ht="14.25" customHeight="1" x14ac:dyDescent="0.35">
      <c r="A53" s="167">
        <f>'Modified HYDEST'!A50</f>
        <v>20</v>
      </c>
      <c r="B53" s="167"/>
      <c r="C53" s="198">
        <f>'Modified HYDEST'!$C$50</f>
        <v>31.33550947357524</v>
      </c>
      <c r="D53" s="198"/>
      <c r="E53" s="198">
        <f>HYDEST!C50</f>
        <v>27.299768986900389</v>
      </c>
      <c r="F53" s="198"/>
      <c r="G53" s="95"/>
      <c r="H53" s="95"/>
    </row>
    <row r="54" spans="1:8" s="32" customFormat="1" ht="14.25" customHeight="1" x14ac:dyDescent="0.35">
      <c r="A54" s="167">
        <f>'Modified HYDEST'!A51</f>
        <v>40</v>
      </c>
      <c r="B54" s="167"/>
      <c r="C54" s="205">
        <f>'Modified HYDEST'!$C$51</f>
        <v>11.753466729775671</v>
      </c>
      <c r="D54" s="205"/>
      <c r="E54" s="205">
        <f>HYDEST!C51</f>
        <v>7.354674154850346</v>
      </c>
      <c r="F54" s="205"/>
      <c r="G54" s="95"/>
      <c r="H54" s="95"/>
    </row>
    <row r="55" spans="1:8" s="32" customFormat="1" ht="14.25" customHeight="1" x14ac:dyDescent="0.35">
      <c r="A55" s="167">
        <f>'Modified HYDEST'!A52</f>
        <v>50</v>
      </c>
      <c r="B55" s="167"/>
      <c r="C55" s="198">
        <f>'Modified HYDEST'!$C$52</f>
        <v>8.8282588590228883</v>
      </c>
      <c r="D55" s="198"/>
      <c r="E55" s="198">
        <f>HYDEST!C52</f>
        <v>5.4768569365062163</v>
      </c>
      <c r="F55" s="198"/>
      <c r="G55" s="95"/>
      <c r="H55" s="95"/>
    </row>
    <row r="56" spans="1:8" s="32" customFormat="1" ht="14.25" customHeight="1" x14ac:dyDescent="0.35">
      <c r="A56" s="167">
        <f>'Modified HYDEST'!A53</f>
        <v>60</v>
      </c>
      <c r="B56" s="167"/>
      <c r="C56" s="198">
        <f>'Modified HYDEST'!$C$53</f>
        <v>5.9030509882701052</v>
      </c>
      <c r="D56" s="198"/>
      <c r="E56" s="198">
        <f>HYDEST!C53</f>
        <v>3.5990397181620875</v>
      </c>
      <c r="F56" s="198"/>
      <c r="G56" s="95"/>
      <c r="H56" s="95"/>
    </row>
    <row r="57" spans="1:8" s="32" customFormat="1" ht="14.25" customHeight="1" x14ac:dyDescent="0.35">
      <c r="A57" s="167">
        <f>'Modified HYDEST'!A54</f>
        <v>65</v>
      </c>
      <c r="B57" s="167"/>
      <c r="C57" s="198">
        <f>'Modified HYDEST'!$C$54</f>
        <v>5.5304124355401036</v>
      </c>
      <c r="D57" s="198"/>
      <c r="E57" s="198">
        <f>HYDEST!C54</f>
        <v>3.2029316481904586</v>
      </c>
      <c r="F57" s="198"/>
      <c r="G57" s="95"/>
      <c r="H57" s="95"/>
    </row>
    <row r="58" spans="1:8" s="32" customFormat="1" ht="14.25" customHeight="1" x14ac:dyDescent="0.35">
      <c r="A58" s="167">
        <f>'Modified HYDEST'!A55</f>
        <v>80</v>
      </c>
      <c r="B58" s="167"/>
      <c r="C58" s="198">
        <f>'Modified HYDEST'!$C$55</f>
        <v>4.4124967773500989</v>
      </c>
      <c r="D58" s="198"/>
      <c r="E58" s="198">
        <f>HYDEST!C55</f>
        <v>2.0146074382755716</v>
      </c>
      <c r="F58" s="198"/>
      <c r="G58" s="95"/>
      <c r="H58" s="95"/>
    </row>
    <row r="59" spans="1:8" s="32" customFormat="1" ht="14.25" customHeight="1" x14ac:dyDescent="0.35">
      <c r="A59" s="167">
        <f>'Modified HYDEST'!A56</f>
        <v>95</v>
      </c>
      <c r="B59" s="167"/>
      <c r="C59" s="198">
        <f>'Modified HYDEST'!$C$56</f>
        <v>3.2879635568786143</v>
      </c>
      <c r="D59" s="198"/>
      <c r="E59" s="198">
        <f>HYDEST!C56</f>
        <v>1.3420288313715691</v>
      </c>
      <c r="F59" s="198"/>
      <c r="G59" s="95"/>
      <c r="H59" s="95"/>
    </row>
    <row r="60" spans="1:8" s="32" customFormat="1" ht="14.25" customHeight="1" x14ac:dyDescent="0.35">
      <c r="A60" s="167">
        <f>'Modified HYDEST'!A57</f>
        <v>100</v>
      </c>
      <c r="B60" s="167"/>
      <c r="C60" s="198">
        <f>'Modified HYDEST'!$C$57</f>
        <v>1.782541290460107</v>
      </c>
      <c r="D60" s="198"/>
      <c r="E60" s="198">
        <f>HYDEST!C57</f>
        <v>1.1751276124098495</v>
      </c>
      <c r="F60" s="198"/>
      <c r="G60" s="95"/>
      <c r="H60" s="95"/>
    </row>
    <row r="61" spans="1:8" s="32" customFormat="1" ht="17.25" x14ac:dyDescent="0.35">
      <c r="A61" s="95"/>
      <c r="B61" s="95"/>
      <c r="C61" s="95"/>
      <c r="D61" s="95"/>
      <c r="E61" s="95"/>
      <c r="F61" s="95"/>
      <c r="G61" s="95"/>
      <c r="H61" s="95"/>
    </row>
    <row r="62" spans="1:8" s="32" customFormat="1" ht="17.25" x14ac:dyDescent="0.35"/>
    <row r="63" spans="1:8" s="32" customFormat="1" ht="17.25" x14ac:dyDescent="0.35"/>
  </sheetData>
  <mergeCells count="121">
    <mergeCell ref="A1:I1"/>
    <mergeCell ref="E55:F55"/>
    <mergeCell ref="C49:F49"/>
    <mergeCell ref="A17:G17"/>
    <mergeCell ref="A32:F32"/>
    <mergeCell ref="E52:F52"/>
    <mergeCell ref="E53:F53"/>
    <mergeCell ref="A46:B46"/>
    <mergeCell ref="A47:B47"/>
    <mergeCell ref="C55:D55"/>
    <mergeCell ref="A51:B51"/>
    <mergeCell ref="C50:D50"/>
    <mergeCell ref="A55:B55"/>
    <mergeCell ref="C51:D51"/>
    <mergeCell ref="A49:B50"/>
    <mergeCell ref="A38:B38"/>
    <mergeCell ref="A40:B40"/>
    <mergeCell ref="A37:B37"/>
    <mergeCell ref="A45:B45"/>
    <mergeCell ref="A43:B43"/>
    <mergeCell ref="A44:B44"/>
    <mergeCell ref="A41:B41"/>
    <mergeCell ref="A42:B42"/>
    <mergeCell ref="A39:B39"/>
    <mergeCell ref="E60:F60"/>
    <mergeCell ref="A60:B60"/>
    <mergeCell ref="C60:D60"/>
    <mergeCell ref="E56:F56"/>
    <mergeCell ref="E57:F57"/>
    <mergeCell ref="A58:B58"/>
    <mergeCell ref="C58:D58"/>
    <mergeCell ref="A59:B59"/>
    <mergeCell ref="C59:D59"/>
    <mergeCell ref="E59:F59"/>
    <mergeCell ref="A48:F48"/>
    <mergeCell ref="E50:F50"/>
    <mergeCell ref="E51:F51"/>
    <mergeCell ref="C56:D56"/>
    <mergeCell ref="A57:B57"/>
    <mergeCell ref="C57:D57"/>
    <mergeCell ref="C53:D53"/>
    <mergeCell ref="E58:F58"/>
    <mergeCell ref="A53:B53"/>
    <mergeCell ref="A52:B52"/>
    <mergeCell ref="C52:D52"/>
    <mergeCell ref="A56:B56"/>
    <mergeCell ref="E54:F54"/>
    <mergeCell ref="A54:B54"/>
    <mergeCell ref="C54:D54"/>
    <mergeCell ref="A36:B36"/>
    <mergeCell ref="A34:B34"/>
    <mergeCell ref="F30:G30"/>
    <mergeCell ref="F31:G31"/>
    <mergeCell ref="F28:G28"/>
    <mergeCell ref="F29:G29"/>
    <mergeCell ref="D30:E30"/>
    <mergeCell ref="D29:E29"/>
    <mergeCell ref="C33:G33"/>
    <mergeCell ref="D28:E28"/>
    <mergeCell ref="D22:E22"/>
    <mergeCell ref="E14:F14"/>
    <mergeCell ref="D23:E23"/>
    <mergeCell ref="D31:E31"/>
    <mergeCell ref="D24:E24"/>
    <mergeCell ref="D25:E25"/>
    <mergeCell ref="D26:E26"/>
    <mergeCell ref="D27:E27"/>
    <mergeCell ref="F19:G19"/>
    <mergeCell ref="F26:G26"/>
    <mergeCell ref="F24:G24"/>
    <mergeCell ref="F25:G25"/>
    <mergeCell ref="D21:E21"/>
    <mergeCell ref="F21:G21"/>
    <mergeCell ref="A4:F4"/>
    <mergeCell ref="D19:E19"/>
    <mergeCell ref="D20:E20"/>
    <mergeCell ref="F20:G20"/>
    <mergeCell ref="E16:F16"/>
    <mergeCell ref="E6:F6"/>
    <mergeCell ref="C5:F5"/>
    <mergeCell ref="D18:G18"/>
    <mergeCell ref="C18:C19"/>
    <mergeCell ref="A18:B19"/>
    <mergeCell ref="A20:B23"/>
    <mergeCell ref="C11:D11"/>
    <mergeCell ref="C13:D13"/>
    <mergeCell ref="C14:D14"/>
    <mergeCell ref="E7:F7"/>
    <mergeCell ref="C16:D16"/>
    <mergeCell ref="E8:F8"/>
    <mergeCell ref="E9:F9"/>
    <mergeCell ref="E10:F10"/>
    <mergeCell ref="C12:D12"/>
    <mergeCell ref="C6:D6"/>
    <mergeCell ref="A7:B7"/>
    <mergeCell ref="A5:B6"/>
    <mergeCell ref="E15:F15"/>
    <mergeCell ref="A16:B16"/>
    <mergeCell ref="C7:D7"/>
    <mergeCell ref="C8:D8"/>
    <mergeCell ref="C9:D9"/>
    <mergeCell ref="C10:D10"/>
    <mergeCell ref="G47:H47"/>
    <mergeCell ref="A8:B8"/>
    <mergeCell ref="A9:B9"/>
    <mergeCell ref="A10:B10"/>
    <mergeCell ref="A11:B11"/>
    <mergeCell ref="C15:D15"/>
    <mergeCell ref="A12:B12"/>
    <mergeCell ref="A13:B13"/>
    <mergeCell ref="A14:B14"/>
    <mergeCell ref="A15:B15"/>
    <mergeCell ref="E11:F11"/>
    <mergeCell ref="E12:F12"/>
    <mergeCell ref="E13:F13"/>
    <mergeCell ref="A24:B27"/>
    <mergeCell ref="A28:B31"/>
    <mergeCell ref="A35:B35"/>
    <mergeCell ref="F27:G27"/>
    <mergeCell ref="F22:G22"/>
    <mergeCell ref="F23:G23"/>
  </mergeCells>
  <phoneticPr fontId="2" type="noConversion"/>
  <pageMargins left="0.7" right="0.7" top="0.75" bottom="0.75" header="0.3" footer="0.3"/>
  <pageSetup paperSize="9" scale="82" orientation="portrait" r:id="rId1"/>
  <headerFooter alignWithMargins="0">
    <oddHeader>&amp;L&amp;"Gill Sans MT,Italic"&amp;9Deparment of Electricity Development &amp;R&amp;"Gill Sans MT,Italic"&amp;9Sankhuwa Khola I  Hydropower Project 
Feasibility Study Report (Draft)</oddHeader>
    <oddFooter>&amp;L&amp;"Gill Sans MT,Italic"&amp;9JV-ERMC and Hydro-Consult Engineering Limited&amp;R&amp;8&amp;P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14</vt:i4>
      </vt:variant>
    </vt:vector>
  </HeadingPairs>
  <TitlesOfParts>
    <vt:vector size="20" baseType="lpstr">
      <vt:lpstr>Hydrological Staitons</vt:lpstr>
      <vt:lpstr>HYDEST</vt:lpstr>
      <vt:lpstr>Modified HYDEST</vt:lpstr>
      <vt:lpstr>station_details</vt:lpstr>
      <vt:lpstr>Modified HYDEST_PH</vt:lpstr>
      <vt:lpstr>COMPARISION</vt:lpstr>
      <vt:lpstr>Area3000</vt:lpstr>
      <vt:lpstr>Area5000</vt:lpstr>
      <vt:lpstr>Basin</vt:lpstr>
      <vt:lpstr>MWI</vt:lpstr>
      <vt:lpstr>COMPARISION!Print_Area</vt:lpstr>
      <vt:lpstr>HYDEST!Print_Area</vt:lpstr>
      <vt:lpstr>'Modified HYDEST'!Print_Area</vt:lpstr>
      <vt:lpstr>'Modified HYDEST_PH'!Print_Area</vt:lpstr>
      <vt:lpstr>HYDEST!Print_Titles</vt:lpstr>
      <vt:lpstr>Return100D</vt:lpstr>
      <vt:lpstr>Return10D</vt:lpstr>
      <vt:lpstr>Return20D</vt:lpstr>
      <vt:lpstr>Return2D</vt:lpstr>
      <vt:lpstr>Return5D</vt:lpstr>
    </vt:vector>
  </TitlesOfParts>
  <Company>Butwal Power Company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Hydroconsult Department</dc:creator>
  <cp:lastModifiedBy>Shradhye Shrestha</cp:lastModifiedBy>
  <cp:lastPrinted>2017-11-30T11:17:14Z</cp:lastPrinted>
  <dcterms:created xsi:type="dcterms:W3CDTF">2006-02-15T10:34:20Z</dcterms:created>
  <dcterms:modified xsi:type="dcterms:W3CDTF">2022-02-22T05:39:30Z</dcterms:modified>
</cp:coreProperties>
</file>